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state="hidden" r:id="rId2"/>
  </sheets>
  <externalReferences>
    <externalReference r:id="rId3"/>
  </externalReferences>
  <definedNames>
    <definedName name="_xlnm.Print_Area" localSheetId="0">Лист1!$A$1:$X$46</definedName>
  </definedNames>
  <calcPr calcId="145621" refMode="R1C1"/>
</workbook>
</file>

<file path=xl/calcChain.xml><?xml version="1.0" encoding="utf-8"?>
<calcChain xmlns="http://schemas.openxmlformats.org/spreadsheetml/2006/main">
  <c r="C58" i="2" l="1"/>
  <c r="C57" i="2"/>
  <c r="C56" i="2"/>
  <c r="C55" i="2"/>
  <c r="C54" i="2"/>
  <c r="O54" i="2" l="1"/>
  <c r="G54" i="2"/>
  <c r="I7" i="1" s="1"/>
  <c r="E7" i="1"/>
  <c r="Q7" i="1" l="1"/>
  <c r="E41" i="1"/>
  <c r="E35" i="1"/>
  <c r="E25" i="1"/>
  <c r="E15" i="1"/>
  <c r="L64" i="2" l="1"/>
  <c r="L62" i="2" s="1"/>
  <c r="J64" i="2"/>
  <c r="H64" i="2"/>
  <c r="F64" i="2"/>
  <c r="F62" i="2" s="1"/>
  <c r="C64" i="2"/>
  <c r="C62" i="2" s="1"/>
  <c r="L63" i="2"/>
  <c r="J63" i="2"/>
  <c r="H63" i="2"/>
  <c r="H61" i="2" s="1"/>
  <c r="F63" i="2"/>
  <c r="F61" i="2" s="1"/>
  <c r="C63" i="2"/>
  <c r="J62" i="2"/>
  <c r="H62" i="2"/>
  <c r="L61" i="2"/>
  <c r="J61" i="2"/>
  <c r="C61" i="2"/>
  <c r="S58" i="2"/>
  <c r="U41" i="1" s="1"/>
  <c r="K58" i="2"/>
  <c r="M41" i="1" s="1"/>
  <c r="S57" i="2"/>
  <c r="U35" i="1" s="1"/>
  <c r="G57" i="2"/>
  <c r="I35" i="1" s="1"/>
  <c r="K57" i="2"/>
  <c r="M35" i="1" s="1"/>
  <c r="K56" i="2"/>
  <c r="M25" i="1" s="1"/>
  <c r="G56" i="2"/>
  <c r="I25" i="1" s="1"/>
  <c r="S56" i="2"/>
  <c r="U25" i="1" s="1"/>
  <c r="O55" i="2"/>
  <c r="Q15" i="1" s="1"/>
  <c r="K55" i="2"/>
  <c r="M15" i="1" s="1"/>
  <c r="F55" i="2"/>
  <c r="H15" i="1" s="1"/>
  <c r="S55" i="2"/>
  <c r="U15" i="1" s="1"/>
  <c r="W52" i="2"/>
  <c r="O52" i="2"/>
  <c r="L52" i="2"/>
  <c r="K52" i="2"/>
  <c r="G52" i="2"/>
  <c r="W51" i="2"/>
  <c r="H51" i="2"/>
  <c r="W50" i="2"/>
  <c r="S49" i="2"/>
  <c r="O49" i="2"/>
  <c r="K49" i="2"/>
  <c r="K51" i="2" s="1"/>
  <c r="N51" i="2" s="1"/>
  <c r="G49" i="2"/>
  <c r="G51" i="2" s="1"/>
  <c r="C49" i="2"/>
  <c r="W48" i="2"/>
  <c r="K48" i="2"/>
  <c r="H48" i="2"/>
  <c r="G48" i="2"/>
  <c r="W47" i="2"/>
  <c r="I47" i="2"/>
  <c r="H47" i="2"/>
  <c r="W46" i="2"/>
  <c r="S45" i="2"/>
  <c r="O45" i="2"/>
  <c r="K45" i="2"/>
  <c r="K47" i="2" s="1"/>
  <c r="L47" i="2" s="1"/>
  <c r="G45" i="2"/>
  <c r="G47" i="2" s="1"/>
  <c r="J47" i="2" s="1"/>
  <c r="C45" i="2"/>
  <c r="C48" i="2" s="1"/>
  <c r="W44" i="2"/>
  <c r="P44" i="2"/>
  <c r="O44" i="2"/>
  <c r="L44" i="2"/>
  <c r="K44" i="2"/>
  <c r="H44" i="2"/>
  <c r="G44" i="2"/>
  <c r="W43" i="2"/>
  <c r="L43" i="2"/>
  <c r="W42" i="2"/>
  <c r="S41" i="2"/>
  <c r="O41" i="2"/>
  <c r="K41" i="2"/>
  <c r="K43" i="2" s="1"/>
  <c r="N43" i="2" s="1"/>
  <c r="G41" i="2"/>
  <c r="G43" i="2" s="1"/>
  <c r="H43" i="2" s="1"/>
  <c r="C41" i="2"/>
  <c r="W40" i="2"/>
  <c r="S40" i="2"/>
  <c r="P40" i="2"/>
  <c r="O40" i="2"/>
  <c r="C40" i="2"/>
  <c r="D40" i="2" s="1"/>
  <c r="S39" i="2"/>
  <c r="O39" i="2"/>
  <c r="K39" i="2"/>
  <c r="K40" i="2" s="1"/>
  <c r="G39" i="2"/>
  <c r="G40" i="2" s="1"/>
  <c r="H40" i="2" s="1"/>
  <c r="C39" i="2"/>
  <c r="W38" i="2"/>
  <c r="R38" i="2"/>
  <c r="M38" i="2"/>
  <c r="J38" i="2"/>
  <c r="S37" i="2"/>
  <c r="S38" i="2" s="1"/>
  <c r="O37" i="2"/>
  <c r="O38" i="2" s="1"/>
  <c r="P38" i="2" s="1"/>
  <c r="K37" i="2"/>
  <c r="K38" i="2" s="1"/>
  <c r="L38" i="2" s="1"/>
  <c r="G37" i="2"/>
  <c r="G38" i="2" s="1"/>
  <c r="C37" i="2"/>
  <c r="C38" i="2" s="1"/>
  <c r="W36" i="2"/>
  <c r="M36" i="2"/>
  <c r="L36" i="2"/>
  <c r="K36" i="2"/>
  <c r="N36" i="2" s="1"/>
  <c r="I36" i="2"/>
  <c r="G36" i="2"/>
  <c r="J36" i="2" s="1"/>
  <c r="W35" i="2"/>
  <c r="U35" i="2"/>
  <c r="J35" i="2"/>
  <c r="H35" i="2"/>
  <c r="W34" i="2"/>
  <c r="O34" i="2"/>
  <c r="N34" i="2"/>
  <c r="M34" i="2"/>
  <c r="K34" i="2"/>
  <c r="L34" i="2" s="1"/>
  <c r="J34" i="2"/>
  <c r="G34" i="2"/>
  <c r="H34" i="2" s="1"/>
  <c r="S33" i="2"/>
  <c r="S35" i="2" s="1"/>
  <c r="T35" i="2" s="1"/>
  <c r="O33" i="2"/>
  <c r="K33" i="2"/>
  <c r="K35" i="2" s="1"/>
  <c r="G33" i="2"/>
  <c r="G35" i="2" s="1"/>
  <c r="I35" i="2" s="1"/>
  <c r="C33" i="2"/>
  <c r="C35" i="2" s="1"/>
  <c r="D35" i="2" s="1"/>
  <c r="W32" i="2"/>
  <c r="U32" i="2"/>
  <c r="S32" i="2"/>
  <c r="V32" i="2" s="1"/>
  <c r="K32" i="2"/>
  <c r="C32" i="2"/>
  <c r="E32" i="2" s="1"/>
  <c r="W31" i="2"/>
  <c r="V31" i="2"/>
  <c r="U31" i="2"/>
  <c r="T31" i="2"/>
  <c r="N31" i="2"/>
  <c r="L31" i="2"/>
  <c r="E31" i="2"/>
  <c r="W30" i="2"/>
  <c r="V30" i="2"/>
  <c r="S30" i="2"/>
  <c r="K30" i="2"/>
  <c r="C30" i="2"/>
  <c r="F30" i="2" s="1"/>
  <c r="S29" i="2"/>
  <c r="S31" i="2" s="1"/>
  <c r="O29" i="2"/>
  <c r="K29" i="2"/>
  <c r="K31" i="2" s="1"/>
  <c r="M31" i="2" s="1"/>
  <c r="G29" i="2"/>
  <c r="C29" i="2"/>
  <c r="C31" i="2" s="1"/>
  <c r="D31" i="2" s="1"/>
  <c r="W28" i="2"/>
  <c r="O28" i="2"/>
  <c r="L28" i="2"/>
  <c r="K28" i="2"/>
  <c r="N28" i="2" s="1"/>
  <c r="G28" i="2"/>
  <c r="W27" i="2"/>
  <c r="R27" i="2"/>
  <c r="P27" i="2"/>
  <c r="J27" i="2"/>
  <c r="H27" i="2"/>
  <c r="W26" i="2"/>
  <c r="R26" i="2"/>
  <c r="O26" i="2"/>
  <c r="M26" i="2"/>
  <c r="K26" i="2"/>
  <c r="L26" i="2" s="1"/>
  <c r="J26" i="2"/>
  <c r="G26" i="2"/>
  <c r="S25" i="2"/>
  <c r="O25" i="2"/>
  <c r="O27" i="2" s="1"/>
  <c r="Q27" i="2" s="1"/>
  <c r="K25" i="2"/>
  <c r="K27" i="2" s="1"/>
  <c r="M27" i="2" s="1"/>
  <c r="G25" i="2"/>
  <c r="G27" i="2" s="1"/>
  <c r="I27" i="2" s="1"/>
  <c r="C25" i="2"/>
  <c r="W24" i="2"/>
  <c r="U24" i="2"/>
  <c r="S24" i="2"/>
  <c r="M24" i="2"/>
  <c r="K24" i="2"/>
  <c r="W23" i="2"/>
  <c r="V23" i="2"/>
  <c r="T23" i="2"/>
  <c r="S23" i="2"/>
  <c r="U23" i="2" s="1"/>
  <c r="L23" i="2"/>
  <c r="W22" i="2"/>
  <c r="S22" i="2"/>
  <c r="K22" i="2"/>
  <c r="S21" i="2"/>
  <c r="O21" i="2"/>
  <c r="K21" i="2"/>
  <c r="K23" i="2" s="1"/>
  <c r="M23" i="2" s="1"/>
  <c r="G21" i="2"/>
  <c r="G22" i="2" s="1"/>
  <c r="C21" i="2"/>
  <c r="C24" i="2" s="1"/>
  <c r="W20" i="2"/>
  <c r="S20" i="2"/>
  <c r="K20" i="2"/>
  <c r="W19" i="2"/>
  <c r="V19" i="2"/>
  <c r="T19" i="2"/>
  <c r="S19" i="2"/>
  <c r="U19" i="2" s="1"/>
  <c r="R19" i="2"/>
  <c r="L19" i="2"/>
  <c r="W18" i="2"/>
  <c r="S18" i="2"/>
  <c r="K18" i="2"/>
  <c r="S17" i="2"/>
  <c r="O17" i="2"/>
  <c r="O19" i="2" s="1"/>
  <c r="Q19" i="2" s="1"/>
  <c r="K17" i="2"/>
  <c r="K19" i="2" s="1"/>
  <c r="M19" i="2" s="1"/>
  <c r="G17" i="2"/>
  <c r="G19" i="2" s="1"/>
  <c r="I19" i="2" s="1"/>
  <c r="C17" i="2"/>
  <c r="C20" i="2" s="1"/>
  <c r="W16" i="2"/>
  <c r="S16" i="2"/>
  <c r="K16" i="2"/>
  <c r="W15" i="2"/>
  <c r="S15" i="2"/>
  <c r="U15" i="2" s="1"/>
  <c r="O15" i="2"/>
  <c r="Q15" i="2" s="1"/>
  <c r="W14" i="2"/>
  <c r="S14" i="2"/>
  <c r="V14" i="2" s="1"/>
  <c r="O14" i="2"/>
  <c r="R14" i="2" s="1"/>
  <c r="S13" i="2"/>
  <c r="O13" i="2"/>
  <c r="O16" i="2" s="1"/>
  <c r="K13" i="2"/>
  <c r="K15" i="2" s="1"/>
  <c r="G13" i="2"/>
  <c r="G15" i="2" s="1"/>
  <c r="C13" i="2"/>
  <c r="C16" i="2" s="1"/>
  <c r="W12" i="2"/>
  <c r="V12" i="2"/>
  <c r="U12" i="2"/>
  <c r="S12" i="2"/>
  <c r="T12" i="2" s="1"/>
  <c r="O12" i="2"/>
  <c r="P12" i="2" s="1"/>
  <c r="W11" i="2"/>
  <c r="V11" i="2"/>
  <c r="T11" i="2"/>
  <c r="S11" i="2"/>
  <c r="U11" i="2" s="1"/>
  <c r="O11" i="2"/>
  <c r="Q11" i="2" s="1"/>
  <c r="W10" i="2"/>
  <c r="U10" i="2"/>
  <c r="T10" i="2"/>
  <c r="S10" i="2"/>
  <c r="V10" i="2" s="1"/>
  <c r="O10" i="2"/>
  <c r="R10" i="2" s="1"/>
  <c r="S9" i="2"/>
  <c r="O9" i="2"/>
  <c r="K9" i="2"/>
  <c r="K12" i="2" s="1"/>
  <c r="G9" i="2"/>
  <c r="G12" i="2" s="1"/>
  <c r="C9" i="2"/>
  <c r="C12" i="2" s="1"/>
  <c r="W8" i="2"/>
  <c r="R8" i="2"/>
  <c r="Q8" i="2"/>
  <c r="O8" i="2"/>
  <c r="P8" i="2" s="1"/>
  <c r="K8" i="2"/>
  <c r="L8" i="2" s="1"/>
  <c r="G8" i="2"/>
  <c r="H8" i="2" s="1"/>
  <c r="W7" i="2"/>
  <c r="R7" i="2"/>
  <c r="P7" i="2"/>
  <c r="O7" i="2"/>
  <c r="Q7" i="2" s="1"/>
  <c r="K7" i="2"/>
  <c r="M7" i="2" s="1"/>
  <c r="G7" i="2"/>
  <c r="I7" i="2" s="1"/>
  <c r="S6" i="2"/>
  <c r="S8" i="2" s="1"/>
  <c r="O6" i="2"/>
  <c r="K6" i="2"/>
  <c r="G6" i="2"/>
  <c r="C6" i="2"/>
  <c r="C8" i="2" s="1"/>
  <c r="W5" i="2"/>
  <c r="R5" i="2"/>
  <c r="N5" i="2"/>
  <c r="M5" i="2"/>
  <c r="L5" i="2"/>
  <c r="H5" i="2"/>
  <c r="S4" i="2"/>
  <c r="S5" i="2" s="1"/>
  <c r="T5" i="2" s="1"/>
  <c r="O4" i="2"/>
  <c r="O5" i="2" s="1"/>
  <c r="Q5" i="2" s="1"/>
  <c r="K4" i="2"/>
  <c r="K5" i="2" s="1"/>
  <c r="G4" i="2"/>
  <c r="G5" i="2" s="1"/>
  <c r="I5" i="2" s="1"/>
  <c r="C4" i="2"/>
  <c r="C5" i="2" s="1"/>
  <c r="D5" i="2" s="1"/>
  <c r="C14" i="2" l="1"/>
  <c r="F14" i="2" s="1"/>
  <c r="C15" i="2"/>
  <c r="E15" i="2" s="1"/>
  <c r="D12" i="2"/>
  <c r="F12" i="2"/>
  <c r="E12" i="2"/>
  <c r="C10" i="2"/>
  <c r="C11" i="2"/>
  <c r="C22" i="2"/>
  <c r="C23" i="2"/>
  <c r="F31" i="2"/>
  <c r="E35" i="2"/>
  <c r="C18" i="2"/>
  <c r="D18" i="2" s="1"/>
  <c r="C19" i="2"/>
  <c r="D8" i="2"/>
  <c r="F8" i="2"/>
  <c r="E8" i="2"/>
  <c r="T8" i="2"/>
  <c r="V8" i="2"/>
  <c r="U8" i="2"/>
  <c r="M15" i="2"/>
  <c r="N15" i="2"/>
  <c r="L15" i="2"/>
  <c r="R16" i="2"/>
  <c r="P16" i="2"/>
  <c r="Q16" i="2"/>
  <c r="H12" i="2"/>
  <c r="J12" i="2"/>
  <c r="I12" i="2"/>
  <c r="H22" i="2"/>
  <c r="J22" i="2"/>
  <c r="I22" i="2"/>
  <c r="L12" i="2"/>
  <c r="N12" i="2"/>
  <c r="M12" i="2"/>
  <c r="I15" i="2"/>
  <c r="J15" i="2"/>
  <c r="H15" i="2"/>
  <c r="E5" i="2"/>
  <c r="J5" i="2"/>
  <c r="P5" i="2"/>
  <c r="U5" i="2"/>
  <c r="C7" i="2"/>
  <c r="H7" i="2"/>
  <c r="N7" i="2"/>
  <c r="S7" i="2"/>
  <c r="I8" i="2"/>
  <c r="N8" i="2"/>
  <c r="G10" i="2"/>
  <c r="Q10" i="2"/>
  <c r="G11" i="2"/>
  <c r="R11" i="2"/>
  <c r="R12" i="2"/>
  <c r="E14" i="2"/>
  <c r="K14" i="2"/>
  <c r="P14" i="2"/>
  <c r="U14" i="2"/>
  <c r="P15" i="2"/>
  <c r="V15" i="2"/>
  <c r="G16" i="2"/>
  <c r="G18" i="2"/>
  <c r="O18" i="2"/>
  <c r="H19" i="2"/>
  <c r="P19" i="2"/>
  <c r="G20" i="2"/>
  <c r="O20" i="2"/>
  <c r="O23" i="2"/>
  <c r="O24" i="2"/>
  <c r="O22" i="2"/>
  <c r="V24" i="2"/>
  <c r="T24" i="2"/>
  <c r="N35" i="2"/>
  <c r="M35" i="2"/>
  <c r="L35" i="2"/>
  <c r="J52" i="2"/>
  <c r="I52" i="2"/>
  <c r="H52" i="2"/>
  <c r="I56" i="2"/>
  <c r="K25" i="1" s="1"/>
  <c r="H56" i="2"/>
  <c r="J25" i="1" s="1"/>
  <c r="J56" i="2"/>
  <c r="L25" i="1" s="1"/>
  <c r="I57" i="2"/>
  <c r="K35" i="1" s="1"/>
  <c r="H57" i="2"/>
  <c r="J35" i="1" s="1"/>
  <c r="J57" i="2"/>
  <c r="L35" i="1" s="1"/>
  <c r="U58" i="2"/>
  <c r="W41" i="1" s="1"/>
  <c r="T58" i="2"/>
  <c r="V41" i="1" s="1"/>
  <c r="V58" i="2"/>
  <c r="X41" i="1" s="1"/>
  <c r="F5" i="2"/>
  <c r="V5" i="2"/>
  <c r="J7" i="2"/>
  <c r="J8" i="2"/>
  <c r="G14" i="2"/>
  <c r="Q14" i="2"/>
  <c r="R15" i="2"/>
  <c r="J19" i="2"/>
  <c r="N24" i="2"/>
  <c r="L24" i="2"/>
  <c r="L27" i="2"/>
  <c r="N27" i="2"/>
  <c r="H26" i="2"/>
  <c r="I26" i="2"/>
  <c r="P26" i="2"/>
  <c r="Q26" i="2"/>
  <c r="O31" i="2"/>
  <c r="O32" i="2"/>
  <c r="O30" i="2"/>
  <c r="T30" i="2"/>
  <c r="U30" i="2"/>
  <c r="N32" i="2"/>
  <c r="M32" i="2"/>
  <c r="L32" i="2"/>
  <c r="P34" i="2"/>
  <c r="R34" i="2"/>
  <c r="Q34" i="2"/>
  <c r="C51" i="2"/>
  <c r="C50" i="2"/>
  <c r="C52" i="2"/>
  <c r="S51" i="2"/>
  <c r="S50" i="2"/>
  <c r="S52" i="2"/>
  <c r="E54" i="2"/>
  <c r="G7" i="1" s="1"/>
  <c r="D54" i="2"/>
  <c r="F7" i="1" s="1"/>
  <c r="F54" i="2"/>
  <c r="H7" i="1" s="1"/>
  <c r="K54" i="2"/>
  <c r="M7" i="1" s="1"/>
  <c r="S54" i="2"/>
  <c r="U7" i="1" s="1"/>
  <c r="U57" i="2"/>
  <c r="W35" i="1" s="1"/>
  <c r="T57" i="2"/>
  <c r="V35" i="1" s="1"/>
  <c r="V57" i="2"/>
  <c r="X35" i="1" s="1"/>
  <c r="F16" i="2"/>
  <c r="D16" i="2"/>
  <c r="N16" i="2"/>
  <c r="L16" i="2"/>
  <c r="V16" i="2"/>
  <c r="T16" i="2"/>
  <c r="L18" i="2"/>
  <c r="N18" i="2"/>
  <c r="T18" i="2"/>
  <c r="V18" i="2"/>
  <c r="F20" i="2"/>
  <c r="D20" i="2"/>
  <c r="N20" i="2"/>
  <c r="L20" i="2"/>
  <c r="V20" i="2"/>
  <c r="T20" i="2"/>
  <c r="G24" i="2"/>
  <c r="G23" i="2"/>
  <c r="D22" i="2"/>
  <c r="F22" i="2"/>
  <c r="L22" i="2"/>
  <c r="N22" i="2"/>
  <c r="T22" i="2"/>
  <c r="V22" i="2"/>
  <c r="F24" i="2"/>
  <c r="D24" i="2"/>
  <c r="J28" i="2"/>
  <c r="H28" i="2"/>
  <c r="R28" i="2"/>
  <c r="P28" i="2"/>
  <c r="L30" i="2"/>
  <c r="M30" i="2"/>
  <c r="D38" i="2"/>
  <c r="F38" i="2"/>
  <c r="E38" i="2"/>
  <c r="T38" i="2"/>
  <c r="U38" i="2"/>
  <c r="V38" i="2"/>
  <c r="N40" i="2"/>
  <c r="M40" i="2"/>
  <c r="L40" i="2"/>
  <c r="O47" i="2"/>
  <c r="O46" i="2"/>
  <c r="O48" i="2"/>
  <c r="Q54" i="2"/>
  <c r="S7" i="1" s="1"/>
  <c r="P54" i="2"/>
  <c r="R7" i="1" s="1"/>
  <c r="R54" i="2"/>
  <c r="T7" i="1" s="1"/>
  <c r="Q55" i="2"/>
  <c r="S15" i="1" s="1"/>
  <c r="P55" i="2"/>
  <c r="R15" i="1" s="1"/>
  <c r="R55" i="2"/>
  <c r="T15" i="1" s="1"/>
  <c r="M58" i="2"/>
  <c r="O41" i="1" s="1"/>
  <c r="L58" i="2"/>
  <c r="N41" i="1" s="1"/>
  <c r="N58" i="2"/>
  <c r="P41" i="1" s="1"/>
  <c r="L7" i="2"/>
  <c r="M8" i="2"/>
  <c r="K10" i="2"/>
  <c r="P10" i="2"/>
  <c r="K11" i="2"/>
  <c r="P11" i="2"/>
  <c r="Q12" i="2"/>
  <c r="T14" i="2"/>
  <c r="D15" i="2"/>
  <c r="T15" i="2"/>
  <c r="E16" i="2"/>
  <c r="M16" i="2"/>
  <c r="U16" i="2"/>
  <c r="E18" i="2"/>
  <c r="M18" i="2"/>
  <c r="U18" i="2"/>
  <c r="N19" i="2"/>
  <c r="E20" i="2"/>
  <c r="M20" i="2"/>
  <c r="U20" i="2"/>
  <c r="E22" i="2"/>
  <c r="M22" i="2"/>
  <c r="U22" i="2"/>
  <c r="N23" i="2"/>
  <c r="E24" i="2"/>
  <c r="C27" i="2"/>
  <c r="C28" i="2"/>
  <c r="C26" i="2"/>
  <c r="S27" i="2"/>
  <c r="S28" i="2"/>
  <c r="S26" i="2"/>
  <c r="I28" i="2"/>
  <c r="Q28" i="2"/>
  <c r="G31" i="2"/>
  <c r="G32" i="2"/>
  <c r="G30" i="2"/>
  <c r="D30" i="2"/>
  <c r="E30" i="2"/>
  <c r="N30" i="2"/>
  <c r="F32" i="2"/>
  <c r="D32" i="2"/>
  <c r="R52" i="2"/>
  <c r="Q52" i="2"/>
  <c r="P52" i="2"/>
  <c r="U55" i="2"/>
  <c r="W15" i="1" s="1"/>
  <c r="T55" i="2"/>
  <c r="V15" i="1" s="1"/>
  <c r="V55" i="2"/>
  <c r="X15" i="1" s="1"/>
  <c r="U56" i="2"/>
  <c r="W25" i="1" s="1"/>
  <c r="T56" i="2"/>
  <c r="V25" i="1" s="1"/>
  <c r="V56" i="2"/>
  <c r="X25" i="1" s="1"/>
  <c r="M57" i="2"/>
  <c r="O35" i="1" s="1"/>
  <c r="L57" i="2"/>
  <c r="N35" i="1" s="1"/>
  <c r="N57" i="2"/>
  <c r="P35" i="1" s="1"/>
  <c r="N26" i="2"/>
  <c r="M28" i="2"/>
  <c r="O36" i="2"/>
  <c r="O35" i="2"/>
  <c r="F35" i="2"/>
  <c r="V35" i="2"/>
  <c r="S36" i="2"/>
  <c r="H38" i="2"/>
  <c r="I38" i="2"/>
  <c r="N38" i="2"/>
  <c r="C43" i="2"/>
  <c r="C42" i="2"/>
  <c r="C44" i="2"/>
  <c r="S43" i="2"/>
  <c r="S42" i="2"/>
  <c r="S44" i="2"/>
  <c r="J44" i="2"/>
  <c r="I44" i="2"/>
  <c r="R44" i="2"/>
  <c r="Q44" i="2"/>
  <c r="C47" i="2"/>
  <c r="C46" i="2"/>
  <c r="S47" i="2"/>
  <c r="S46" i="2"/>
  <c r="S48" i="2"/>
  <c r="J51" i="2"/>
  <c r="I51" i="2"/>
  <c r="L51" i="2"/>
  <c r="G55" i="2"/>
  <c r="I15" i="1" s="1"/>
  <c r="V40" i="2"/>
  <c r="U40" i="2"/>
  <c r="J43" i="2"/>
  <c r="I43" i="2"/>
  <c r="F48" i="2"/>
  <c r="E48" i="2"/>
  <c r="N48" i="2"/>
  <c r="M48" i="2"/>
  <c r="M51" i="2"/>
  <c r="M55" i="2"/>
  <c r="O15" i="1" s="1"/>
  <c r="L55" i="2"/>
  <c r="N15" i="1" s="1"/>
  <c r="M56" i="2"/>
  <c r="O25" i="1" s="1"/>
  <c r="L56" i="2"/>
  <c r="N25" i="1" s="1"/>
  <c r="N56" i="2"/>
  <c r="P25" i="1" s="1"/>
  <c r="E57" i="2"/>
  <c r="G35" i="1" s="1"/>
  <c r="D57" i="2"/>
  <c r="F35" i="1" s="1"/>
  <c r="E58" i="2"/>
  <c r="G41" i="1" s="1"/>
  <c r="D58" i="2"/>
  <c r="F41" i="1" s="1"/>
  <c r="F58" i="2"/>
  <c r="H41" i="1" s="1"/>
  <c r="O58" i="2"/>
  <c r="Q41" i="1" s="1"/>
  <c r="T32" i="2"/>
  <c r="C34" i="2"/>
  <c r="I34" i="2"/>
  <c r="S34" i="2"/>
  <c r="C36" i="2"/>
  <c r="H36" i="2"/>
  <c r="J40" i="2"/>
  <c r="I40" i="2"/>
  <c r="F40" i="2"/>
  <c r="E40" i="2"/>
  <c r="T40" i="2"/>
  <c r="M43" i="2"/>
  <c r="N47" i="2"/>
  <c r="M47" i="2"/>
  <c r="D48" i="2"/>
  <c r="L48" i="2"/>
  <c r="E55" i="2"/>
  <c r="G15" i="1" s="1"/>
  <c r="D55" i="2"/>
  <c r="F15" i="1" s="1"/>
  <c r="N55" i="2"/>
  <c r="P15" i="1" s="1"/>
  <c r="E56" i="2"/>
  <c r="G25" i="1" s="1"/>
  <c r="D56" i="2"/>
  <c r="F25" i="1" s="1"/>
  <c r="F56" i="2"/>
  <c r="H25" i="1" s="1"/>
  <c r="O56" i="2"/>
  <c r="Q25" i="1" s="1"/>
  <c r="F57" i="2"/>
  <c r="H35" i="1" s="1"/>
  <c r="O57" i="2"/>
  <c r="Q35" i="1" s="1"/>
  <c r="G58" i="2"/>
  <c r="I41" i="1" s="1"/>
  <c r="Q38" i="2"/>
  <c r="R40" i="2"/>
  <c r="Q40" i="2"/>
  <c r="O43" i="2"/>
  <c r="O42" i="2"/>
  <c r="N44" i="2"/>
  <c r="M44" i="2"/>
  <c r="J48" i="2"/>
  <c r="I48" i="2"/>
  <c r="O51" i="2"/>
  <c r="O50" i="2"/>
  <c r="N52" i="2"/>
  <c r="M52" i="2"/>
  <c r="G42" i="2"/>
  <c r="K42" i="2"/>
  <c r="G46" i="2"/>
  <c r="K46" i="2"/>
  <c r="G50" i="2"/>
  <c r="K50" i="2"/>
  <c r="F15" i="2" l="1"/>
  <c r="D14" i="2"/>
  <c r="F18" i="2"/>
  <c r="F10" i="2"/>
  <c r="D10" i="2"/>
  <c r="E10" i="2"/>
  <c r="E19" i="2"/>
  <c r="F19" i="2"/>
  <c r="D19" i="2"/>
  <c r="E23" i="2"/>
  <c r="F23" i="2"/>
  <c r="D23" i="2"/>
  <c r="E11" i="2"/>
  <c r="F11" i="2"/>
  <c r="D11" i="2"/>
  <c r="D34" i="2"/>
  <c r="F34" i="2"/>
  <c r="E34" i="2"/>
  <c r="V36" i="2"/>
  <c r="U36" i="2"/>
  <c r="T36" i="2"/>
  <c r="D26" i="2"/>
  <c r="F26" i="2"/>
  <c r="E26" i="2"/>
  <c r="P50" i="2"/>
  <c r="Q50" i="2"/>
  <c r="R50" i="2"/>
  <c r="Q57" i="2"/>
  <c r="S35" i="1" s="1"/>
  <c r="P57" i="2"/>
  <c r="R35" i="1" s="1"/>
  <c r="R57" i="2"/>
  <c r="T35" i="1" s="1"/>
  <c r="D46" i="2"/>
  <c r="E46" i="2"/>
  <c r="F46" i="2"/>
  <c r="T26" i="2"/>
  <c r="V26" i="2"/>
  <c r="U26" i="2"/>
  <c r="M54" i="2"/>
  <c r="O7" i="1" s="1"/>
  <c r="L54" i="2"/>
  <c r="N7" i="1" s="1"/>
  <c r="N54" i="2"/>
  <c r="P7" i="1" s="1"/>
  <c r="P31" i="2"/>
  <c r="R31" i="2"/>
  <c r="Q31" i="2"/>
  <c r="H50" i="2"/>
  <c r="I50" i="2"/>
  <c r="J50" i="2"/>
  <c r="R51" i="2"/>
  <c r="Q51" i="2"/>
  <c r="P51" i="2"/>
  <c r="Q58" i="2"/>
  <c r="S41" i="1" s="1"/>
  <c r="P58" i="2"/>
  <c r="R41" i="1" s="1"/>
  <c r="R58" i="2"/>
  <c r="T41" i="1" s="1"/>
  <c r="I55" i="2"/>
  <c r="K15" i="1" s="1"/>
  <c r="H55" i="2"/>
  <c r="J15" i="1" s="1"/>
  <c r="J55" i="2"/>
  <c r="L15" i="1" s="1"/>
  <c r="V48" i="2"/>
  <c r="U48" i="2"/>
  <c r="T48" i="2"/>
  <c r="F44" i="2"/>
  <c r="E44" i="2"/>
  <c r="D44" i="2"/>
  <c r="V28" i="2"/>
  <c r="U28" i="2"/>
  <c r="T28" i="2"/>
  <c r="F27" i="2"/>
  <c r="D27" i="2"/>
  <c r="E27" i="2"/>
  <c r="N10" i="2"/>
  <c r="M10" i="2"/>
  <c r="L10" i="2"/>
  <c r="R48" i="2"/>
  <c r="Q48" i="2"/>
  <c r="P48" i="2"/>
  <c r="T50" i="2"/>
  <c r="U50" i="2"/>
  <c r="V50" i="2"/>
  <c r="F51" i="2"/>
  <c r="E51" i="2"/>
  <c r="D51" i="2"/>
  <c r="P18" i="2"/>
  <c r="R18" i="2"/>
  <c r="Q18" i="2"/>
  <c r="N14" i="2"/>
  <c r="M14" i="2"/>
  <c r="L14" i="2"/>
  <c r="I11" i="2"/>
  <c r="J11" i="2"/>
  <c r="H11" i="2"/>
  <c r="E7" i="2"/>
  <c r="F7" i="2"/>
  <c r="D7" i="2"/>
  <c r="L46" i="2"/>
  <c r="M46" i="2"/>
  <c r="N46" i="2"/>
  <c r="P42" i="2"/>
  <c r="Q42" i="2"/>
  <c r="R42" i="2"/>
  <c r="Q56" i="2"/>
  <c r="S25" i="1" s="1"/>
  <c r="P56" i="2"/>
  <c r="R25" i="1" s="1"/>
  <c r="R56" i="2"/>
  <c r="T25" i="1" s="1"/>
  <c r="T46" i="2"/>
  <c r="U46" i="2"/>
  <c r="V46" i="2"/>
  <c r="V44" i="2"/>
  <c r="U44" i="2"/>
  <c r="T44" i="2"/>
  <c r="D42" i="2"/>
  <c r="F42" i="2"/>
  <c r="E42" i="2"/>
  <c r="R35" i="2"/>
  <c r="Q35" i="2"/>
  <c r="P35" i="2"/>
  <c r="V27" i="2"/>
  <c r="T27" i="2"/>
  <c r="U27" i="2"/>
  <c r="P46" i="2"/>
  <c r="R46" i="2"/>
  <c r="Q46" i="2"/>
  <c r="I54" i="2"/>
  <c r="K7" i="1" s="1"/>
  <c r="H54" i="2"/>
  <c r="J7" i="1" s="1"/>
  <c r="J54" i="2"/>
  <c r="L7" i="1" s="1"/>
  <c r="V51" i="2"/>
  <c r="U51" i="2"/>
  <c r="T51" i="2"/>
  <c r="P30" i="2"/>
  <c r="R30" i="2"/>
  <c r="Q30" i="2"/>
  <c r="P22" i="2"/>
  <c r="R22" i="2"/>
  <c r="Q22" i="2"/>
  <c r="J20" i="2"/>
  <c r="H20" i="2"/>
  <c r="I20" i="2"/>
  <c r="H18" i="2"/>
  <c r="J18" i="2"/>
  <c r="I18" i="2"/>
  <c r="U7" i="2"/>
  <c r="V7" i="2"/>
  <c r="T7" i="2"/>
  <c r="T42" i="2"/>
  <c r="V42" i="2"/>
  <c r="U42" i="2"/>
  <c r="F43" i="2"/>
  <c r="D43" i="2"/>
  <c r="E43" i="2"/>
  <c r="R36" i="2"/>
  <c r="Q36" i="2"/>
  <c r="P36" i="2"/>
  <c r="M11" i="2"/>
  <c r="N11" i="2"/>
  <c r="L11" i="2"/>
  <c r="R47" i="2"/>
  <c r="Q47" i="2"/>
  <c r="P47" i="2"/>
  <c r="I23" i="2"/>
  <c r="J23" i="2"/>
  <c r="H23" i="2"/>
  <c r="U54" i="2"/>
  <c r="W7" i="1" s="1"/>
  <c r="T54" i="2"/>
  <c r="V7" i="1" s="1"/>
  <c r="V54" i="2"/>
  <c r="X7" i="1" s="1"/>
  <c r="F52" i="2"/>
  <c r="E52" i="2"/>
  <c r="D52" i="2"/>
  <c r="Q32" i="2"/>
  <c r="R32" i="2" s="1"/>
  <c r="P32" i="2"/>
  <c r="R24" i="2"/>
  <c r="Q24" i="2"/>
  <c r="P24" i="2"/>
  <c r="J16" i="2"/>
  <c r="H16" i="2"/>
  <c r="I16" i="2"/>
  <c r="J10" i="2"/>
  <c r="I10" i="2"/>
  <c r="H10" i="2"/>
  <c r="H46" i="2"/>
  <c r="I46" i="2"/>
  <c r="J46" i="2"/>
  <c r="R43" i="2"/>
  <c r="Q43" i="2"/>
  <c r="P43" i="2"/>
  <c r="L42" i="2"/>
  <c r="N42" i="2"/>
  <c r="M42" i="2"/>
  <c r="F36" i="2"/>
  <c r="E36" i="2"/>
  <c r="D36" i="2"/>
  <c r="V43" i="2"/>
  <c r="U43" i="2"/>
  <c r="T43" i="2"/>
  <c r="J24" i="2"/>
  <c r="I24" i="2"/>
  <c r="H24" i="2"/>
  <c r="D50" i="2"/>
  <c r="F50" i="2"/>
  <c r="E50" i="2"/>
  <c r="Q23" i="2"/>
  <c r="R23" i="2"/>
  <c r="P23" i="2"/>
  <c r="I58" i="2"/>
  <c r="K41" i="1" s="1"/>
  <c r="H58" i="2"/>
  <c r="J41" i="1" s="1"/>
  <c r="J58" i="2"/>
  <c r="L41" i="1" s="1"/>
  <c r="V47" i="2"/>
  <c r="U47" i="2"/>
  <c r="T47" i="2"/>
  <c r="H30" i="2"/>
  <c r="J30" i="2"/>
  <c r="I30" i="2"/>
  <c r="L50" i="2"/>
  <c r="N50" i="2"/>
  <c r="M50" i="2"/>
  <c r="J32" i="2"/>
  <c r="I32" i="2"/>
  <c r="H32" i="2"/>
  <c r="F28" i="2"/>
  <c r="E28" i="2"/>
  <c r="D28" i="2"/>
  <c r="V52" i="2"/>
  <c r="U52" i="2"/>
  <c r="T52" i="2"/>
  <c r="J14" i="2"/>
  <c r="I14" i="2"/>
  <c r="H14" i="2"/>
  <c r="H42" i="2"/>
  <c r="I42" i="2"/>
  <c r="J42" i="2"/>
  <c r="T34" i="2"/>
  <c r="V34" i="2"/>
  <c r="U34" i="2"/>
  <c r="F47" i="2"/>
  <c r="D47" i="2"/>
  <c r="E47" i="2" s="1"/>
  <c r="J31" i="2"/>
  <c r="H31" i="2"/>
  <c r="I31" i="2"/>
  <c r="R20" i="2"/>
  <c r="P20" i="2"/>
  <c r="Q20" i="2"/>
  <c r="D7" i="1"/>
  <c r="E8" i="1" s="1"/>
  <c r="D15" i="1"/>
  <c r="E19" i="1" s="1"/>
  <c r="D25" i="1"/>
  <c r="E29" i="1" s="1"/>
  <c r="D35" i="1"/>
  <c r="E37" i="1" s="1"/>
  <c r="D41" i="1"/>
  <c r="E23" i="1" l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F29" i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E33" i="1"/>
  <c r="F8" i="1"/>
  <c r="G8" i="1" s="1"/>
  <c r="H8" i="1" s="1"/>
  <c r="I8" i="1" s="1"/>
  <c r="E10" i="1"/>
  <c r="E9" i="1"/>
  <c r="F9" i="1" s="1"/>
  <c r="G9" i="1" s="1"/>
  <c r="H9" i="1" s="1"/>
  <c r="E43" i="1"/>
  <c r="E42" i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E39" i="1"/>
  <c r="F37" i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E44" i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E38" i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E36" i="1"/>
  <c r="F36" i="1" s="1"/>
  <c r="G36" i="1" s="1"/>
  <c r="E32" i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E31" i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E30" i="1"/>
  <c r="F30" i="1" s="1"/>
  <c r="G30" i="1" s="1"/>
  <c r="E28" i="1"/>
  <c r="F28" i="1" s="1"/>
  <c r="G28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E26" i="1"/>
  <c r="F26" i="1" s="1"/>
  <c r="G26" i="1" s="1"/>
  <c r="E22" i="1"/>
  <c r="F22" i="1" s="1"/>
  <c r="G22" i="1" s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E20" i="1"/>
  <c r="F20" i="1" s="1"/>
  <c r="E18" i="1"/>
  <c r="H28" i="1" l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H22" i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H30" i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F43" i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E45" i="1"/>
  <c r="E34" i="1"/>
  <c r="F33" i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G20" i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F18" i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H26" i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F39" i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E40" i="1"/>
  <c r="E13" i="1"/>
  <c r="E12" i="1"/>
  <c r="F10" i="1"/>
  <c r="E11" i="1"/>
  <c r="H36" i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E24" i="1"/>
  <c r="V16" i="1"/>
  <c r="W16" i="1" s="1"/>
  <c r="X16" i="1" s="1"/>
  <c r="I9" i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J8" i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F24" i="1" l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F40" i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F34" i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E46" i="1"/>
  <c r="F45" i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F13" i="1"/>
  <c r="E14" i="1"/>
  <c r="G10" i="1"/>
  <c r="F11" i="1"/>
  <c r="F12" i="1"/>
  <c r="F14" i="1" l="1"/>
  <c r="F46" i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H10" i="1"/>
  <c r="G12" i="1"/>
  <c r="G11" i="1"/>
  <c r="G13" i="1"/>
  <c r="G14" i="1" s="1"/>
  <c r="H13" i="1" l="1"/>
  <c r="I10" i="1"/>
  <c r="H11" i="1"/>
  <c r="H12" i="1"/>
  <c r="I13" i="1" l="1"/>
  <c r="H14" i="1"/>
  <c r="J10" i="1"/>
  <c r="I11" i="1"/>
  <c r="I12" i="1"/>
  <c r="I14" i="1" l="1"/>
  <c r="K10" i="1"/>
  <c r="J11" i="1"/>
  <c r="J12" i="1"/>
  <c r="J13" i="1"/>
  <c r="L10" i="1" l="1"/>
  <c r="K11" i="1"/>
  <c r="K12" i="1"/>
  <c r="K13" i="1"/>
  <c r="J14" i="1"/>
  <c r="K14" i="1" l="1"/>
  <c r="M10" i="1"/>
  <c r="L11" i="1"/>
  <c r="L12" i="1"/>
  <c r="L13" i="1"/>
  <c r="N10" i="1" l="1"/>
  <c r="M12" i="1"/>
  <c r="M11" i="1"/>
  <c r="M13" i="1"/>
  <c r="L14" i="1"/>
  <c r="M14" i="1" l="1"/>
  <c r="O10" i="1"/>
  <c r="N11" i="1"/>
  <c r="N12" i="1"/>
  <c r="N13" i="1"/>
  <c r="P10" i="1" l="1"/>
  <c r="O11" i="1"/>
  <c r="O12" i="1"/>
  <c r="O13" i="1"/>
  <c r="N14" i="1"/>
  <c r="P13" i="1" l="1"/>
  <c r="O14" i="1"/>
  <c r="Q10" i="1"/>
  <c r="P12" i="1"/>
  <c r="P11" i="1"/>
  <c r="P14" i="1" l="1"/>
  <c r="R10" i="1"/>
  <c r="Q12" i="1"/>
  <c r="Q11" i="1"/>
  <c r="Q13" i="1"/>
  <c r="R13" i="1" l="1"/>
  <c r="Q14" i="1"/>
  <c r="R14" i="1" s="1"/>
  <c r="S10" i="1"/>
  <c r="R12" i="1"/>
  <c r="R11" i="1"/>
  <c r="T10" i="1" l="1"/>
  <c r="S11" i="1"/>
  <c r="S12" i="1"/>
  <c r="S13" i="1"/>
  <c r="T13" i="1" l="1"/>
  <c r="S14" i="1"/>
  <c r="U10" i="1"/>
  <c r="T12" i="1"/>
  <c r="T11" i="1"/>
  <c r="T14" i="1" l="1"/>
  <c r="V10" i="1"/>
  <c r="U11" i="1"/>
  <c r="U12" i="1"/>
  <c r="U13" i="1"/>
  <c r="V13" i="1" s="1"/>
  <c r="U14" i="1" l="1"/>
  <c r="V14" i="1" s="1"/>
  <c r="W10" i="1"/>
  <c r="V11" i="1"/>
  <c r="V12" i="1"/>
  <c r="X10" i="1" l="1"/>
  <c r="W11" i="1"/>
  <c r="W12" i="1"/>
  <c r="W13" i="1"/>
  <c r="X13" i="1" l="1"/>
  <c r="W14" i="1"/>
  <c r="X14" i="1" s="1"/>
  <c r="X11" i="1"/>
  <c r="X12" i="1"/>
</calcChain>
</file>

<file path=xl/sharedStrings.xml><?xml version="1.0" encoding="utf-8"?>
<sst xmlns="http://schemas.openxmlformats.org/spreadsheetml/2006/main" count="169" uniqueCount="59">
  <si>
    <t xml:space="preserve">ООО "Ольга и К"                     </t>
  </si>
  <si>
    <t>350001, г. Краснодар, ул. 6-я Линия Поймы реки Кубань. 81 тел./факс (861) 211-21-19 www.olgapak.ru</t>
  </si>
  <si>
    <t>Прайс-лист на пакеты с вырубной ручкой</t>
  </si>
  <si>
    <t>"Утверждаю"</t>
  </si>
  <si>
    <t>Геворкян О.И.</t>
  </si>
  <si>
    <t>ТИРАЖ (ШТ)</t>
  </si>
  <si>
    <t>100 000 И БОЛЕЕ</t>
  </si>
  <si>
    <t>КОЛИЧЕСТВО ЦВЕТОВ РИСУНКА</t>
  </si>
  <si>
    <t>1 ЦВЕТ</t>
  </si>
  <si>
    <t>2 ЦВЕТА</t>
  </si>
  <si>
    <t>3 ЦВЕТА</t>
  </si>
  <si>
    <t>4 ЦВЕТА</t>
  </si>
  <si>
    <t>Размер (см)</t>
  </si>
  <si>
    <t>Толщина 2ст (мкм)</t>
  </si>
  <si>
    <t>Донная складка (в +)</t>
  </si>
  <si>
    <t>Вес пакета</t>
  </si>
  <si>
    <t>ЦЕНА (руб)</t>
  </si>
  <si>
    <t>30x40</t>
  </si>
  <si>
    <t>35x40</t>
  </si>
  <si>
    <t>40x50</t>
  </si>
  <si>
    <t>50x60</t>
  </si>
  <si>
    <t>70x60</t>
  </si>
  <si>
    <t>100 000 и более</t>
  </si>
  <si>
    <t>МАЙКА</t>
  </si>
  <si>
    <t>1 цвет</t>
  </si>
  <si>
    <t>2 цвета</t>
  </si>
  <si>
    <t>3 цвета</t>
  </si>
  <si>
    <t>4 цвета</t>
  </si>
  <si>
    <t>рублей за кг</t>
  </si>
  <si>
    <t>вес пакета</t>
  </si>
  <si>
    <t>руб/мкм</t>
  </si>
  <si>
    <t>21(5)х35</t>
  </si>
  <si>
    <t>26(7)x40</t>
  </si>
  <si>
    <t>28(8)x50</t>
  </si>
  <si>
    <t>30(8)x50</t>
  </si>
  <si>
    <t>32(8.5)x55</t>
  </si>
  <si>
    <t>36(9)x55</t>
  </si>
  <si>
    <t>36(9)x60</t>
  </si>
  <si>
    <t>40(10)х60</t>
  </si>
  <si>
    <t>45(10)х70</t>
  </si>
  <si>
    <t>Банан</t>
  </si>
  <si>
    <t>20х30</t>
  </si>
  <si>
    <t>24x35</t>
  </si>
  <si>
    <t>30х40</t>
  </si>
  <si>
    <t>38х48</t>
  </si>
  <si>
    <t>40х54</t>
  </si>
  <si>
    <t>Высокий пакет</t>
  </si>
  <si>
    <t>30 x 40 в/д</t>
  </si>
  <si>
    <t>35 x 40 в/д</t>
  </si>
  <si>
    <t>40 x 50 в/д</t>
  </si>
  <si>
    <t>50 x 60 в/д</t>
  </si>
  <si>
    <t>70 x 60 в/д</t>
  </si>
  <si>
    <t>С усилением</t>
  </si>
  <si>
    <t>С усил и складкой</t>
  </si>
  <si>
    <t>Простой</t>
  </si>
  <si>
    <t>С донной складкой</t>
  </si>
  <si>
    <t>действует с 1.12.2025 г.</t>
  </si>
  <si>
    <r>
      <rPr>
        <b/>
        <sz val="13"/>
        <color indexed="8"/>
        <rFont val="Bookman Old Style"/>
        <family val="1"/>
        <charset val="204"/>
      </rPr>
      <t>Стоимость клише для одного цвета - от 3000-4000 рублей.</t>
    </r>
    <r>
      <rPr>
        <b/>
        <sz val="12"/>
        <color indexed="8"/>
        <rFont val="Bookman Old Style"/>
        <family val="1"/>
        <charset val="204"/>
      </rPr>
      <t xml:space="preserve"> </t>
    </r>
    <r>
      <rPr>
        <b/>
        <sz val="16"/>
        <color rgb="FFFF0000"/>
        <rFont val="Bookman Old Style"/>
        <family val="1"/>
        <charset val="204"/>
      </rPr>
      <t>Срок производства заказа до 45 календарных дней</t>
    </r>
  </si>
  <si>
    <t>Логотип до 2-х цветов, можно от 5т. 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</si>
</sst>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0.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b/>
      <sz val="11"/>
      <color indexed="8"/>
      <name val="Bookman Old Style"/>
      <family val="1"/>
    </font>
    <font>
      <sz val="20"/>
      <color indexed="8"/>
      <name val="Baskerville Old Face"/>
      <family val="1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28"/>
      <color indexed="8"/>
      <name val="Baskerville Old Face"/>
      <family val="1"/>
    </font>
    <font>
      <sz val="14"/>
      <color indexed="8"/>
      <name val="Baskerville Old Face"/>
      <family val="1"/>
    </font>
    <font>
      <sz val="10"/>
      <color indexed="8"/>
      <name val="Baskerville Old Face"/>
      <family val="1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  <charset val="204"/>
    </font>
    <font>
      <sz val="16"/>
      <color indexed="8"/>
      <name val="Arial Narrow"/>
      <family val="2"/>
    </font>
    <font>
      <sz val="16"/>
      <color indexed="8"/>
      <name val="Baskerville Old Face"/>
      <family val="1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4"/>
      <color theme="1"/>
      <name val="Arial"/>
      <family val="2"/>
    </font>
    <font>
      <sz val="9"/>
      <color theme="0"/>
      <name val="Arial"/>
      <family val="2"/>
      <charset val="204"/>
    </font>
    <font>
      <sz val="13"/>
      <color indexed="8"/>
      <name val="Baskerville Old Face"/>
      <family val="1"/>
    </font>
    <font>
      <sz val="14"/>
      <color theme="0" tint="-0.499984740745262"/>
      <name val="Arial Narrow"/>
      <family val="2"/>
    </font>
    <font>
      <sz val="14"/>
      <color theme="0" tint="-0.499984740745262"/>
      <name val="Arial"/>
      <family val="2"/>
      <charset val="204"/>
    </font>
    <font>
      <b/>
      <sz val="12"/>
      <color indexed="8"/>
      <name val="Bookman Old Style"/>
      <family val="1"/>
      <charset val="204"/>
    </font>
    <font>
      <b/>
      <sz val="14"/>
      <color rgb="FFC00000"/>
      <name val="Arial"/>
      <family val="2"/>
    </font>
    <font>
      <sz val="10"/>
      <color indexed="9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sz val="15"/>
      <color indexed="8"/>
      <name val="Baskerville Old Face"/>
      <family val="1"/>
    </font>
    <font>
      <b/>
      <sz val="10"/>
      <color indexed="10"/>
      <name val="Arial"/>
      <family val="2"/>
      <charset val="204"/>
    </font>
    <font>
      <b/>
      <sz val="14"/>
      <color indexed="8"/>
      <name val="Arial"/>
      <family val="2"/>
      <charset val="204"/>
    </font>
    <font>
      <sz val="10"/>
      <color theme="1"/>
      <name val="Arial"/>
      <family val="2"/>
    </font>
    <font>
      <b/>
      <sz val="14"/>
      <color indexed="8"/>
      <name val="Lucida Grande"/>
    </font>
    <font>
      <sz val="10"/>
      <color indexed="8"/>
      <name val="Lucida Grande"/>
    </font>
    <font>
      <sz val="15"/>
      <color indexed="8"/>
      <name val="Arial"/>
      <family val="2"/>
    </font>
    <font>
      <sz val="14"/>
      <color indexed="8"/>
      <name val="Lucida Grande"/>
    </font>
    <font>
      <b/>
      <sz val="14"/>
      <name val="Arial"/>
      <family val="2"/>
    </font>
    <font>
      <b/>
      <sz val="16"/>
      <color rgb="FFFF0000"/>
      <name val="Bookman Old Style"/>
      <family val="1"/>
      <charset val="204"/>
    </font>
    <font>
      <b/>
      <sz val="13"/>
      <color indexed="8"/>
      <name val="Bookman Old Style"/>
      <family val="1"/>
      <charset val="204"/>
    </font>
    <font>
      <b/>
      <sz val="14"/>
      <color rgb="FFFF0000"/>
      <name val="Arial"/>
      <family val="2"/>
      <charset val="204"/>
    </font>
    <font>
      <sz val="14"/>
      <color indexed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26"/>
      </patternFill>
    </fill>
  </fills>
  <borders count="1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8"/>
      </right>
      <top style="thin">
        <color indexed="22"/>
      </top>
      <bottom/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64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22"/>
      </right>
      <top/>
      <bottom style="medium">
        <color indexed="8"/>
      </bottom>
      <diagonal/>
    </border>
    <border>
      <left style="thin">
        <color indexed="22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22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22"/>
      </right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22"/>
      </bottom>
      <diagonal/>
    </border>
    <border>
      <left style="medium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8">
    <xf numFmtId="0" fontId="0" fillId="0" borderId="0" xfId="0"/>
    <xf numFmtId="0" fontId="3" fillId="2" borderId="0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top"/>
    </xf>
    <xf numFmtId="0" fontId="4" fillId="2" borderId="0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top"/>
    </xf>
    <xf numFmtId="0" fontId="5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/>
    <xf numFmtId="0" fontId="9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/>
    </xf>
    <xf numFmtId="0" fontId="6" fillId="2" borderId="6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0" fontId="13" fillId="2" borderId="0" xfId="0" applyNumberFormat="1" applyFont="1" applyFill="1" applyBorder="1" applyAlignment="1">
      <alignment vertical="center"/>
    </xf>
    <xf numFmtId="0" fontId="16" fillId="0" borderId="21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center" vertical="center"/>
    </xf>
    <xf numFmtId="0" fontId="16" fillId="0" borderId="14" xfId="0" applyNumberFormat="1" applyFont="1" applyBorder="1" applyAlignment="1">
      <alignment horizontal="center" vertical="center"/>
    </xf>
    <xf numFmtId="0" fontId="16" fillId="0" borderId="10" xfId="0" applyNumberFormat="1" applyFont="1" applyBorder="1" applyAlignment="1">
      <alignment horizontal="center" vertical="center"/>
    </xf>
    <xf numFmtId="0" fontId="16" fillId="0" borderId="33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 wrapText="1"/>
    </xf>
    <xf numFmtId="2" fontId="17" fillId="4" borderId="15" xfId="0" applyNumberFormat="1" applyFont="1" applyFill="1" applyBorder="1" applyAlignment="1">
      <alignment horizontal="right" vertical="center"/>
    </xf>
    <xf numFmtId="2" fontId="17" fillId="4" borderId="16" xfId="0" applyNumberFormat="1" applyFont="1" applyFill="1" applyBorder="1" applyAlignment="1">
      <alignment horizontal="right" vertical="center"/>
    </xf>
    <xf numFmtId="2" fontId="17" fillId="7" borderId="22" xfId="0" applyNumberFormat="1" applyFont="1" applyFill="1" applyBorder="1" applyAlignment="1">
      <alignment horizontal="right" vertical="center"/>
    </xf>
    <xf numFmtId="2" fontId="17" fillId="7" borderId="23" xfId="0" applyNumberFormat="1" applyFont="1" applyFill="1" applyBorder="1" applyAlignment="1">
      <alignment horizontal="right" vertical="center"/>
    </xf>
    <xf numFmtId="2" fontId="17" fillId="5" borderId="22" xfId="0" applyNumberFormat="1" applyFont="1" applyFill="1" applyBorder="1" applyAlignment="1">
      <alignment horizontal="right" vertical="center"/>
    </xf>
    <xf numFmtId="2" fontId="17" fillId="5" borderId="23" xfId="0" applyNumberFormat="1" applyFont="1" applyFill="1" applyBorder="1" applyAlignment="1">
      <alignment horizontal="right" vertical="center"/>
    </xf>
    <xf numFmtId="2" fontId="17" fillId="8" borderId="48" xfId="0" applyNumberFormat="1" applyFont="1" applyFill="1" applyBorder="1" applyAlignment="1">
      <alignment horizontal="right" vertical="center"/>
    </xf>
    <xf numFmtId="2" fontId="17" fillId="8" borderId="49" xfId="0" applyNumberFormat="1" applyFont="1" applyFill="1" applyBorder="1" applyAlignment="1">
      <alignment horizontal="right" vertical="center"/>
    </xf>
    <xf numFmtId="2" fontId="17" fillId="6" borderId="15" xfId="0" applyNumberFormat="1" applyFont="1" applyFill="1" applyBorder="1" applyAlignment="1">
      <alignment horizontal="right" vertical="center"/>
    </xf>
    <xf numFmtId="2" fontId="17" fillId="6" borderId="16" xfId="0" applyNumberFormat="1" applyFont="1" applyFill="1" applyBorder="1" applyAlignment="1">
      <alignment horizontal="right" vertical="center"/>
    </xf>
    <xf numFmtId="2" fontId="17" fillId="8" borderId="28" xfId="0" applyNumberFormat="1" applyFont="1" applyFill="1" applyBorder="1" applyAlignment="1">
      <alignment horizontal="right" vertical="center"/>
    </xf>
    <xf numFmtId="2" fontId="17" fillId="8" borderId="29" xfId="0" applyNumberFormat="1" applyFont="1" applyFill="1" applyBorder="1" applyAlignment="1">
      <alignment horizontal="right" vertical="center"/>
    </xf>
    <xf numFmtId="2" fontId="17" fillId="6" borderId="12" xfId="0" applyNumberFormat="1" applyFont="1" applyFill="1" applyBorder="1" applyAlignment="1">
      <alignment horizontal="right" vertical="center"/>
    </xf>
    <xf numFmtId="2" fontId="17" fillId="6" borderId="4" xfId="0" applyNumberFormat="1" applyFont="1" applyFill="1" applyBorder="1" applyAlignment="1">
      <alignment horizontal="right" vertical="center"/>
    </xf>
    <xf numFmtId="2" fontId="17" fillId="9" borderId="1" xfId="0" applyNumberFormat="1" applyFont="1" applyFill="1" applyBorder="1" applyAlignment="1">
      <alignment horizontal="right" vertical="center"/>
    </xf>
    <xf numFmtId="2" fontId="17" fillId="9" borderId="2" xfId="0" applyNumberFormat="1" applyFont="1" applyFill="1" applyBorder="1" applyAlignment="1">
      <alignment horizontal="right" vertical="center"/>
    </xf>
    <xf numFmtId="2" fontId="17" fillId="6" borderId="34" xfId="0" applyNumberFormat="1" applyFont="1" applyFill="1" applyBorder="1" applyAlignment="1">
      <alignment horizontal="right" vertical="center"/>
    </xf>
    <xf numFmtId="2" fontId="17" fillId="6" borderId="35" xfId="0" applyNumberFormat="1" applyFont="1" applyFill="1" applyBorder="1" applyAlignment="1">
      <alignment horizontal="right" vertical="center"/>
    </xf>
    <xf numFmtId="2" fontId="17" fillId="6" borderId="1" xfId="0" applyNumberFormat="1" applyFont="1" applyFill="1" applyBorder="1" applyAlignment="1">
      <alignment horizontal="right" vertical="center"/>
    </xf>
    <xf numFmtId="2" fontId="17" fillId="6" borderId="2" xfId="0" applyNumberFormat="1" applyFont="1" applyFill="1" applyBorder="1" applyAlignment="1">
      <alignment horizontal="right" vertical="center"/>
    </xf>
    <xf numFmtId="2" fontId="17" fillId="9" borderId="6" xfId="0" applyNumberFormat="1" applyFont="1" applyFill="1" applyBorder="1" applyAlignment="1">
      <alignment horizontal="right" vertical="center"/>
    </xf>
    <xf numFmtId="2" fontId="17" fillId="9" borderId="7" xfId="0" applyNumberFormat="1" applyFont="1" applyFill="1" applyBorder="1" applyAlignment="1">
      <alignment horizontal="right" vertical="center"/>
    </xf>
    <xf numFmtId="0" fontId="19" fillId="2" borderId="0" xfId="0" applyNumberFormat="1" applyFont="1" applyFill="1" applyBorder="1" applyAlignment="1">
      <alignment horizontal="left"/>
    </xf>
    <xf numFmtId="0" fontId="14" fillId="0" borderId="11" xfId="0" applyNumberFormat="1" applyFont="1" applyBorder="1" applyAlignment="1">
      <alignment horizontal="center" vertical="center"/>
    </xf>
    <xf numFmtId="164" fontId="20" fillId="3" borderId="38" xfId="0" applyNumberFormat="1" applyFont="1" applyFill="1" applyBorder="1" applyAlignment="1">
      <alignment horizontal="center" vertical="center" wrapText="1"/>
    </xf>
    <xf numFmtId="0" fontId="21" fillId="0" borderId="39" xfId="0" applyNumberFormat="1" applyFont="1" applyBorder="1" applyAlignment="1">
      <alignment horizontal="center" vertical="center"/>
    </xf>
    <xf numFmtId="0" fontId="21" fillId="0" borderId="38" xfId="0" applyNumberFormat="1" applyFont="1" applyBorder="1" applyAlignment="1">
      <alignment horizontal="center" vertical="center"/>
    </xf>
    <xf numFmtId="164" fontId="21" fillId="0" borderId="39" xfId="1" applyNumberFormat="1" applyFont="1" applyBorder="1" applyAlignment="1">
      <alignment horizontal="center" vertical="center"/>
    </xf>
    <xf numFmtId="0" fontId="21" fillId="0" borderId="47" xfId="0" applyNumberFormat="1" applyFont="1" applyBorder="1" applyAlignment="1">
      <alignment horizontal="center" vertical="center"/>
    </xf>
    <xf numFmtId="164" fontId="21" fillId="3" borderId="38" xfId="0" applyNumberFormat="1" applyFont="1" applyFill="1" applyBorder="1" applyAlignment="1">
      <alignment horizontal="center" vertical="center" wrapText="1"/>
    </xf>
    <xf numFmtId="0" fontId="21" fillId="0" borderId="40" xfId="0" applyNumberFormat="1" applyFont="1" applyBorder="1" applyAlignment="1">
      <alignment horizontal="center" vertical="center"/>
    </xf>
    <xf numFmtId="0" fontId="21" fillId="0" borderId="41" xfId="0" applyNumberFormat="1" applyFont="1" applyBorder="1" applyAlignment="1">
      <alignment horizontal="center" vertical="center"/>
    </xf>
    <xf numFmtId="164" fontId="21" fillId="0" borderId="40" xfId="0" applyNumberFormat="1" applyFont="1" applyBorder="1" applyAlignment="1">
      <alignment horizontal="center" vertical="center"/>
    </xf>
    <xf numFmtId="2" fontId="23" fillId="4" borderId="16" xfId="0" applyNumberFormat="1" applyFont="1" applyFill="1" applyBorder="1" applyAlignment="1">
      <alignment horizontal="right" vertical="center"/>
    </xf>
    <xf numFmtId="2" fontId="23" fillId="7" borderId="23" xfId="0" applyNumberFormat="1" applyFont="1" applyFill="1" applyBorder="1" applyAlignment="1">
      <alignment horizontal="right" vertical="center"/>
    </xf>
    <xf numFmtId="2" fontId="23" fillId="5" borderId="23" xfId="0" applyNumberFormat="1" applyFont="1" applyFill="1" applyBorder="1" applyAlignment="1">
      <alignment horizontal="right" vertical="center"/>
    </xf>
    <xf numFmtId="2" fontId="23" fillId="6" borderId="16" xfId="0" applyNumberFormat="1" applyFont="1" applyFill="1" applyBorder="1" applyAlignment="1">
      <alignment horizontal="right" vertical="center"/>
    </xf>
    <xf numFmtId="2" fontId="23" fillId="6" borderId="4" xfId="0" applyNumberFormat="1" applyFont="1" applyFill="1" applyBorder="1" applyAlignment="1">
      <alignment horizontal="right" vertical="center"/>
    </xf>
    <xf numFmtId="2" fontId="23" fillId="9" borderId="2" xfId="0" applyNumberFormat="1" applyFont="1" applyFill="1" applyBorder="1" applyAlignment="1">
      <alignment horizontal="right" vertical="center"/>
    </xf>
    <xf numFmtId="2" fontId="23" fillId="8" borderId="29" xfId="0" applyNumberFormat="1" applyFont="1" applyFill="1" applyBorder="1" applyAlignment="1">
      <alignment horizontal="right" vertical="center"/>
    </xf>
    <xf numFmtId="2" fontId="23" fillId="6" borderId="35" xfId="0" applyNumberFormat="1" applyFont="1" applyFill="1" applyBorder="1" applyAlignment="1">
      <alignment horizontal="right" vertical="center"/>
    </xf>
    <xf numFmtId="2" fontId="23" fillId="8" borderId="49" xfId="0" applyNumberFormat="1" applyFont="1" applyFill="1" applyBorder="1" applyAlignment="1">
      <alignment horizontal="right" vertical="center"/>
    </xf>
    <xf numFmtId="2" fontId="23" fillId="6" borderId="2" xfId="0" applyNumberFormat="1" applyFont="1" applyFill="1" applyBorder="1" applyAlignment="1">
      <alignment horizontal="right" vertical="center"/>
    </xf>
    <xf numFmtId="2" fontId="23" fillId="9" borderId="7" xfId="0" applyNumberFormat="1" applyFont="1" applyFill="1" applyBorder="1" applyAlignment="1">
      <alignment horizontal="right" vertical="center"/>
    </xf>
    <xf numFmtId="1" fontId="24" fillId="2" borderId="57" xfId="0" applyNumberFormat="1" applyFont="1" applyFill="1" applyBorder="1" applyAlignment="1"/>
    <xf numFmtId="1" fontId="11" fillId="2" borderId="58" xfId="0" applyNumberFormat="1" applyFont="1" applyFill="1" applyBorder="1" applyAlignment="1"/>
    <xf numFmtId="1" fontId="24" fillId="2" borderId="60" xfId="0" applyNumberFormat="1" applyFont="1" applyFill="1" applyBorder="1" applyAlignment="1"/>
    <xf numFmtId="1" fontId="25" fillId="2" borderId="57" xfId="0" applyNumberFormat="1" applyFont="1" applyFill="1" applyBorder="1" applyAlignment="1">
      <alignment horizontal="center"/>
    </xf>
    <xf numFmtId="1" fontId="6" fillId="2" borderId="58" xfId="0" applyNumberFormat="1" applyFont="1" applyFill="1" applyBorder="1" applyAlignment="1">
      <alignment horizontal="center"/>
    </xf>
    <xf numFmtId="1" fontId="6" fillId="2" borderId="61" xfId="0" applyNumberFormat="1" applyFont="1" applyFill="1" applyBorder="1" applyAlignment="1">
      <alignment horizontal="center"/>
    </xf>
    <xf numFmtId="1" fontId="6" fillId="2" borderId="62" xfId="0" applyNumberFormat="1" applyFont="1" applyFill="1" applyBorder="1" applyAlignment="1">
      <alignment horizontal="center"/>
    </xf>
    <xf numFmtId="1" fontId="6" fillId="2" borderId="63" xfId="0" applyNumberFormat="1" applyFont="1" applyFill="1" applyBorder="1" applyAlignment="1">
      <alignment horizontal="center"/>
    </xf>
    <xf numFmtId="1" fontId="6" fillId="2" borderId="64" xfId="0" applyNumberFormat="1" applyFont="1" applyFill="1" applyBorder="1" applyAlignment="1"/>
    <xf numFmtId="1" fontId="6" fillId="2" borderId="65" xfId="0" applyNumberFormat="1" applyFont="1" applyFill="1" applyBorder="1" applyAlignment="1"/>
    <xf numFmtId="1" fontId="26" fillId="2" borderId="66" xfId="0" applyNumberFormat="1" applyFont="1" applyFill="1" applyBorder="1" applyAlignment="1">
      <alignment horizontal="center"/>
    </xf>
    <xf numFmtId="1" fontId="27" fillId="2" borderId="67" xfId="0" applyNumberFormat="1" applyFont="1" applyFill="1" applyBorder="1" applyAlignment="1"/>
    <xf numFmtId="1" fontId="27" fillId="2" borderId="68" xfId="0" applyNumberFormat="1" applyFont="1" applyFill="1" applyBorder="1" applyAlignment="1"/>
    <xf numFmtId="1" fontId="6" fillId="2" borderId="67" xfId="0" applyNumberFormat="1" applyFont="1" applyFill="1" applyBorder="1" applyAlignment="1"/>
    <xf numFmtId="1" fontId="6" fillId="2" borderId="68" xfId="0" applyNumberFormat="1" applyFont="1" applyFill="1" applyBorder="1" applyAlignment="1"/>
    <xf numFmtId="1" fontId="6" fillId="10" borderId="11" xfId="0" applyNumberFormat="1" applyFont="1" applyFill="1" applyBorder="1" applyAlignment="1"/>
    <xf numFmtId="1" fontId="6" fillId="11" borderId="69" xfId="0" applyNumberFormat="1" applyFont="1" applyFill="1" applyBorder="1" applyAlignment="1"/>
    <xf numFmtId="165" fontId="27" fillId="11" borderId="70" xfId="0" applyNumberFormat="1" applyFont="1" applyFill="1" applyBorder="1" applyAlignment="1"/>
    <xf numFmtId="1" fontId="6" fillId="11" borderId="71" xfId="0" applyNumberFormat="1" applyFont="1" applyFill="1" applyBorder="1" applyAlignment="1"/>
    <xf numFmtId="1" fontId="27" fillId="11" borderId="71" xfId="0" applyNumberFormat="1" applyFont="1" applyFill="1" applyBorder="1" applyAlignment="1"/>
    <xf numFmtId="1" fontId="27" fillId="11" borderId="72" xfId="0" applyNumberFormat="1" applyFont="1" applyFill="1" applyBorder="1" applyAlignment="1"/>
    <xf numFmtId="165" fontId="27" fillId="11" borderId="73" xfId="0" applyNumberFormat="1" applyFont="1" applyFill="1" applyBorder="1" applyAlignment="1"/>
    <xf numFmtId="1" fontId="6" fillId="11" borderId="74" xfId="0" applyNumberFormat="1" applyFont="1" applyFill="1" applyBorder="1" applyAlignment="1"/>
    <xf numFmtId="1" fontId="6" fillId="11" borderId="75" xfId="0" applyNumberFormat="1" applyFont="1" applyFill="1" applyBorder="1" applyAlignment="1"/>
    <xf numFmtId="1" fontId="29" fillId="2" borderId="32" xfId="0" applyNumberFormat="1" applyFont="1" applyFill="1" applyBorder="1" applyAlignment="1">
      <alignment horizontal="center" vertical="center"/>
    </xf>
    <xf numFmtId="1" fontId="8" fillId="2" borderId="76" xfId="0" applyNumberFormat="1" applyFont="1" applyFill="1" applyBorder="1" applyAlignment="1">
      <alignment horizontal="center"/>
    </xf>
    <xf numFmtId="2" fontId="6" fillId="2" borderId="77" xfId="0" applyNumberFormat="1" applyFont="1" applyFill="1" applyBorder="1" applyAlignment="1"/>
    <xf numFmtId="2" fontId="6" fillId="2" borderId="78" xfId="0" applyNumberFormat="1" applyFont="1" applyFill="1" applyBorder="1" applyAlignment="1"/>
    <xf numFmtId="2" fontId="6" fillId="2" borderId="62" xfId="0" applyNumberFormat="1" applyFont="1" applyFill="1" applyBorder="1" applyAlignment="1"/>
    <xf numFmtId="2" fontId="6" fillId="2" borderId="61" xfId="0" applyNumberFormat="1" applyFont="1" applyFill="1" applyBorder="1" applyAlignment="1"/>
    <xf numFmtId="164" fontId="6" fillId="2" borderId="60" xfId="0" applyNumberFormat="1" applyFont="1" applyFill="1" applyBorder="1" applyAlignment="1"/>
    <xf numFmtId="1" fontId="6" fillId="11" borderId="79" xfId="0" applyNumberFormat="1" applyFont="1" applyFill="1" applyBorder="1" applyAlignment="1"/>
    <xf numFmtId="165" fontId="27" fillId="11" borderId="80" xfId="0" applyNumberFormat="1" applyFont="1" applyFill="1" applyBorder="1" applyAlignment="1"/>
    <xf numFmtId="1" fontId="6" fillId="11" borderId="81" xfId="0" applyNumberFormat="1" applyFont="1" applyFill="1" applyBorder="1" applyAlignment="1"/>
    <xf numFmtId="1" fontId="27" fillId="11" borderId="81" xfId="0" applyNumberFormat="1" applyFont="1" applyFill="1" applyBorder="1" applyAlignment="1"/>
    <xf numFmtId="1" fontId="27" fillId="11" borderId="82" xfId="0" applyNumberFormat="1" applyFont="1" applyFill="1" applyBorder="1" applyAlignment="1"/>
    <xf numFmtId="164" fontId="27" fillId="11" borderId="82" xfId="0" applyNumberFormat="1" applyFont="1" applyFill="1" applyBorder="1" applyAlignment="1"/>
    <xf numFmtId="1" fontId="6" fillId="11" borderId="83" xfId="0" applyNumberFormat="1" applyFont="1" applyFill="1" applyBorder="1" applyAlignment="1"/>
    <xf numFmtId="1" fontId="6" fillId="11" borderId="84" xfId="0" applyNumberFormat="1" applyFont="1" applyFill="1" applyBorder="1" applyAlignment="1"/>
    <xf numFmtId="164" fontId="24" fillId="2" borderId="60" xfId="0" applyNumberFormat="1" applyFont="1" applyFill="1" applyBorder="1" applyAlignment="1"/>
    <xf numFmtId="1" fontId="8" fillId="2" borderId="86" xfId="0" applyNumberFormat="1" applyFont="1" applyFill="1" applyBorder="1" applyAlignment="1">
      <alignment horizontal="center"/>
    </xf>
    <xf numFmtId="4" fontId="6" fillId="2" borderId="87" xfId="0" applyNumberFormat="1" applyFont="1" applyFill="1" applyBorder="1" applyAlignment="1"/>
    <xf numFmtId="2" fontId="6" fillId="2" borderId="88" xfId="0" applyNumberFormat="1" applyFont="1" applyFill="1" applyBorder="1" applyAlignment="1"/>
    <xf numFmtId="2" fontId="6" fillId="2" borderId="89" xfId="0" applyNumberFormat="1" applyFont="1" applyFill="1" applyBorder="1" applyAlignment="1"/>
    <xf numFmtId="2" fontId="6" fillId="2" borderId="87" xfId="0" applyNumberFormat="1" applyFont="1" applyFill="1" applyBorder="1" applyAlignment="1"/>
    <xf numFmtId="1" fontId="8" fillId="2" borderId="91" xfId="0" applyNumberFormat="1" applyFont="1" applyFill="1" applyBorder="1" applyAlignment="1">
      <alignment horizontal="center"/>
    </xf>
    <xf numFmtId="165" fontId="30" fillId="11" borderId="92" xfId="0" applyNumberFormat="1" applyFont="1" applyFill="1" applyBorder="1" applyAlignment="1"/>
    <xf numFmtId="1" fontId="6" fillId="11" borderId="93" xfId="0" applyNumberFormat="1" applyFont="1" applyFill="1" applyBorder="1" applyAlignment="1"/>
    <xf numFmtId="1" fontId="27" fillId="11" borderId="93" xfId="0" applyNumberFormat="1" applyFont="1" applyFill="1" applyBorder="1" applyAlignment="1"/>
    <xf numFmtId="1" fontId="27" fillId="11" borderId="94" xfId="0" applyNumberFormat="1" applyFont="1" applyFill="1" applyBorder="1" applyAlignment="1"/>
    <xf numFmtId="165" fontId="27" fillId="11" borderId="92" xfId="0" applyNumberFormat="1" applyFont="1" applyFill="1" applyBorder="1" applyAlignment="1"/>
    <xf numFmtId="2" fontId="6" fillId="11" borderId="95" xfId="0" applyNumberFormat="1" applyFont="1" applyFill="1" applyBorder="1" applyAlignment="1">
      <alignment horizontal="right"/>
    </xf>
    <xf numFmtId="2" fontId="6" fillId="11" borderId="96" xfId="0" applyNumberFormat="1" applyFont="1" applyFill="1" applyBorder="1" applyAlignment="1">
      <alignment horizontal="right"/>
    </xf>
    <xf numFmtId="1" fontId="8" fillId="2" borderId="97" xfId="0" applyNumberFormat="1" applyFont="1" applyFill="1" applyBorder="1" applyAlignment="1">
      <alignment horizontal="center"/>
    </xf>
    <xf numFmtId="4" fontId="6" fillId="2" borderId="98" xfId="0" applyNumberFormat="1" applyFont="1" applyFill="1" applyBorder="1" applyAlignment="1"/>
    <xf numFmtId="2" fontId="6" fillId="2" borderId="99" xfId="0" applyNumberFormat="1" applyFont="1" applyFill="1" applyBorder="1" applyAlignment="1"/>
    <xf numFmtId="2" fontId="6" fillId="2" borderId="100" xfId="0" applyNumberFormat="1" applyFont="1" applyFill="1" applyBorder="1" applyAlignment="1"/>
    <xf numFmtId="2" fontId="6" fillId="2" borderId="98" xfId="0" applyNumberFormat="1" applyFont="1" applyFill="1" applyBorder="1" applyAlignment="1"/>
    <xf numFmtId="1" fontId="6" fillId="11" borderId="95" xfId="0" applyNumberFormat="1" applyFont="1" applyFill="1" applyBorder="1" applyAlignment="1"/>
    <xf numFmtId="1" fontId="6" fillId="11" borderId="96" xfId="0" applyNumberFormat="1" applyFont="1" applyFill="1" applyBorder="1" applyAlignment="1"/>
    <xf numFmtId="2" fontId="6" fillId="2" borderId="102" xfId="0" applyNumberFormat="1" applyFont="1" applyFill="1" applyBorder="1" applyAlignment="1"/>
    <xf numFmtId="1" fontId="27" fillId="11" borderId="95" xfId="0" applyNumberFormat="1" applyFont="1" applyFill="1" applyBorder="1" applyAlignment="1"/>
    <xf numFmtId="1" fontId="27" fillId="11" borderId="96" xfId="0" applyNumberFormat="1" applyFont="1" applyFill="1" applyBorder="1" applyAlignment="1"/>
    <xf numFmtId="2" fontId="6" fillId="2" borderId="103" xfId="0" applyNumberFormat="1" applyFont="1" applyFill="1" applyBorder="1" applyAlignment="1"/>
    <xf numFmtId="2" fontId="6" fillId="2" borderId="104" xfId="0" applyNumberFormat="1" applyFont="1" applyFill="1" applyBorder="1" applyAlignment="1"/>
    <xf numFmtId="1" fontId="31" fillId="2" borderId="11" xfId="0" applyNumberFormat="1" applyFont="1" applyFill="1" applyBorder="1" applyAlignment="1">
      <alignment horizontal="center"/>
    </xf>
    <xf numFmtId="1" fontId="6" fillId="11" borderId="105" xfId="0" applyNumberFormat="1" applyFont="1" applyFill="1" applyBorder="1" applyAlignment="1"/>
    <xf numFmtId="165" fontId="27" fillId="11" borderId="71" xfId="0" applyNumberFormat="1" applyFont="1" applyFill="1" applyBorder="1" applyAlignment="1"/>
    <xf numFmtId="2" fontId="6" fillId="11" borderId="74" xfId="0" applyNumberFormat="1" applyFont="1" applyFill="1" applyBorder="1" applyAlignment="1">
      <alignment horizontal="right"/>
    </xf>
    <xf numFmtId="2" fontId="6" fillId="11" borderId="106" xfId="0" applyNumberFormat="1" applyFont="1" applyFill="1" applyBorder="1" applyAlignment="1">
      <alignment horizontal="right"/>
    </xf>
    <xf numFmtId="164" fontId="6" fillId="2" borderId="57" xfId="0" applyNumberFormat="1" applyFont="1" applyFill="1" applyBorder="1" applyAlignment="1"/>
    <xf numFmtId="1" fontId="29" fillId="2" borderId="32" xfId="0" applyNumberFormat="1" applyFont="1" applyFill="1" applyBorder="1" applyAlignment="1">
      <alignment horizontal="center" vertical="center" wrapText="1"/>
    </xf>
    <xf numFmtId="2" fontId="6" fillId="2" borderId="61" xfId="0" applyNumberFormat="1" applyFont="1" applyFill="1" applyBorder="1" applyAlignment="1">
      <alignment horizontal="right"/>
    </xf>
    <xf numFmtId="2" fontId="6" fillId="2" borderId="78" xfId="0" applyNumberFormat="1" applyFont="1" applyFill="1" applyBorder="1" applyAlignment="1">
      <alignment horizontal="right"/>
    </xf>
    <xf numFmtId="2" fontId="6" fillId="2" borderId="62" xfId="0" applyNumberFormat="1" applyFont="1" applyFill="1" applyBorder="1" applyAlignment="1">
      <alignment horizontal="right"/>
    </xf>
    <xf numFmtId="165" fontId="6" fillId="2" borderId="60" xfId="0" applyNumberFormat="1" applyFont="1" applyFill="1" applyBorder="1" applyAlignment="1"/>
    <xf numFmtId="165" fontId="27" fillId="11" borderId="93" xfId="0" applyNumberFormat="1" applyFont="1" applyFill="1" applyBorder="1" applyAlignment="1"/>
    <xf numFmtId="2" fontId="6" fillId="11" borderId="107" xfId="0" applyNumberFormat="1" applyFont="1" applyFill="1" applyBorder="1" applyAlignment="1">
      <alignment horizontal="right"/>
    </xf>
    <xf numFmtId="2" fontId="6" fillId="2" borderId="98" xfId="0" applyNumberFormat="1" applyFont="1" applyFill="1" applyBorder="1" applyAlignment="1">
      <alignment horizontal="right"/>
    </xf>
    <xf numFmtId="2" fontId="6" fillId="2" borderId="109" xfId="0" applyNumberFormat="1" applyFont="1" applyFill="1" applyBorder="1" applyAlignment="1">
      <alignment horizontal="right"/>
    </xf>
    <xf numFmtId="2" fontId="6" fillId="2" borderId="99" xfId="0" applyNumberFormat="1" applyFont="1" applyFill="1" applyBorder="1" applyAlignment="1">
      <alignment horizontal="right"/>
    </xf>
    <xf numFmtId="2" fontId="6" fillId="2" borderId="100" xfId="0" applyNumberFormat="1" applyFont="1" applyFill="1" applyBorder="1" applyAlignment="1">
      <alignment horizontal="right"/>
    </xf>
    <xf numFmtId="1" fontId="8" fillId="2" borderId="111" xfId="0" applyNumberFormat="1" applyFont="1" applyFill="1" applyBorder="1" applyAlignment="1">
      <alignment horizontal="center"/>
    </xf>
    <xf numFmtId="2" fontId="6" fillId="2" borderId="112" xfId="0" applyNumberFormat="1" applyFont="1" applyFill="1" applyBorder="1" applyAlignment="1">
      <alignment horizontal="right"/>
    </xf>
    <xf numFmtId="2" fontId="6" fillId="2" borderId="113" xfId="0" applyNumberFormat="1" applyFont="1" applyFill="1" applyBorder="1" applyAlignment="1">
      <alignment horizontal="right"/>
    </xf>
    <xf numFmtId="2" fontId="6" fillId="2" borderId="114" xfId="0" applyNumberFormat="1" applyFont="1" applyFill="1" applyBorder="1" applyAlignment="1">
      <alignment horizontal="right"/>
    </xf>
    <xf numFmtId="2" fontId="6" fillId="2" borderId="87" xfId="0" applyNumberFormat="1" applyFont="1" applyFill="1" applyBorder="1" applyAlignment="1">
      <alignment horizontal="right"/>
    </xf>
    <xf numFmtId="2" fontId="6" fillId="2" borderId="113" xfId="0" applyNumberFormat="1" applyFont="1" applyFill="1" applyBorder="1" applyAlignment="1"/>
    <xf numFmtId="2" fontId="6" fillId="2" borderId="114" xfId="0" applyNumberFormat="1" applyFont="1" applyFill="1" applyBorder="1" applyAlignment="1"/>
    <xf numFmtId="1" fontId="8" fillId="2" borderId="116" xfId="0" applyNumberFormat="1" applyFont="1" applyFill="1" applyBorder="1" applyAlignment="1">
      <alignment horizontal="center"/>
    </xf>
    <xf numFmtId="2" fontId="6" fillId="2" borderId="117" xfId="0" applyNumberFormat="1" applyFont="1" applyFill="1" applyBorder="1" applyAlignment="1">
      <alignment horizontal="right"/>
    </xf>
    <xf numFmtId="2" fontId="6" fillId="2" borderId="118" xfId="0" applyNumberFormat="1" applyFont="1" applyFill="1" applyBorder="1" applyAlignment="1"/>
    <xf numFmtId="2" fontId="6" fillId="2" borderId="119" xfId="0" applyNumberFormat="1" applyFont="1" applyFill="1" applyBorder="1" applyAlignment="1"/>
    <xf numFmtId="2" fontId="6" fillId="2" borderId="118" xfId="0" applyNumberFormat="1" applyFont="1" applyFill="1" applyBorder="1" applyAlignment="1">
      <alignment horizontal="right"/>
    </xf>
    <xf numFmtId="2" fontId="6" fillId="2" borderId="119" xfId="0" applyNumberFormat="1" applyFont="1" applyFill="1" applyBorder="1" applyAlignment="1">
      <alignment horizontal="right"/>
    </xf>
    <xf numFmtId="1" fontId="6" fillId="11" borderId="120" xfId="0" applyNumberFormat="1" applyFont="1" applyFill="1" applyBorder="1" applyAlignment="1"/>
    <xf numFmtId="165" fontId="27" fillId="11" borderId="121" xfId="0" applyNumberFormat="1" applyFont="1" applyFill="1" applyBorder="1" applyAlignment="1"/>
    <xf numFmtId="1" fontId="6" fillId="11" borderId="121" xfId="0" applyNumberFormat="1" applyFont="1" applyFill="1" applyBorder="1" applyAlignment="1"/>
    <xf numFmtId="2" fontId="6" fillId="11" borderId="122" xfId="0" applyNumberFormat="1" applyFont="1" applyFill="1" applyBorder="1" applyAlignment="1">
      <alignment horizontal="right"/>
    </xf>
    <xf numFmtId="2" fontId="6" fillId="11" borderId="123" xfId="0" applyNumberFormat="1" applyFont="1" applyFill="1" applyBorder="1" applyAlignment="1">
      <alignment horizontal="right"/>
    </xf>
    <xf numFmtId="1" fontId="8" fillId="2" borderId="124" xfId="0" applyNumberFormat="1" applyFont="1" applyFill="1" applyBorder="1" applyAlignment="1">
      <alignment horizontal="center"/>
    </xf>
    <xf numFmtId="2" fontId="32" fillId="3" borderId="15" xfId="0" applyNumberFormat="1" applyFont="1" applyFill="1" applyBorder="1" applyAlignment="1"/>
    <xf numFmtId="2" fontId="32" fillId="3" borderId="16" xfId="0" applyNumberFormat="1" applyFont="1" applyFill="1" applyBorder="1" applyAlignment="1"/>
    <xf numFmtId="2" fontId="32" fillId="3" borderId="43" xfId="0" applyNumberFormat="1" applyFont="1" applyFill="1" applyBorder="1" applyAlignment="1"/>
    <xf numFmtId="2" fontId="32" fillId="3" borderId="17" xfId="0" applyNumberFormat="1" applyFont="1" applyFill="1" applyBorder="1" applyAlignment="1"/>
    <xf numFmtId="2" fontId="32" fillId="3" borderId="18" xfId="0" applyNumberFormat="1" applyFont="1" applyFill="1" applyBorder="1" applyAlignment="1"/>
    <xf numFmtId="164" fontId="6" fillId="2" borderId="125" xfId="0" applyNumberFormat="1" applyFont="1" applyFill="1" applyBorder="1" applyAlignment="1"/>
    <xf numFmtId="1" fontId="8" fillId="2" borderId="126" xfId="0" applyNumberFormat="1" applyFont="1" applyFill="1" applyBorder="1" applyAlignment="1">
      <alignment horizontal="center"/>
    </xf>
    <xf numFmtId="2" fontId="32" fillId="3" borderId="22" xfId="0" applyNumberFormat="1" applyFont="1" applyFill="1" applyBorder="1" applyAlignment="1"/>
    <xf numFmtId="2" fontId="32" fillId="3" borderId="23" xfId="0" applyNumberFormat="1" applyFont="1" applyFill="1" applyBorder="1" applyAlignment="1"/>
    <xf numFmtId="2" fontId="32" fillId="3" borderId="44" xfId="0" applyNumberFormat="1" applyFont="1" applyFill="1" applyBorder="1" applyAlignment="1"/>
    <xf numFmtId="2" fontId="32" fillId="3" borderId="24" xfId="0" applyNumberFormat="1" applyFont="1" applyFill="1" applyBorder="1" applyAlignment="1"/>
    <xf numFmtId="2" fontId="32" fillId="3" borderId="25" xfId="0" applyNumberFormat="1" applyFont="1" applyFill="1" applyBorder="1" applyAlignment="1"/>
    <xf numFmtId="1" fontId="8" fillId="2" borderId="127" xfId="0" applyNumberFormat="1" applyFont="1" applyFill="1" applyBorder="1" applyAlignment="1">
      <alignment horizontal="center"/>
    </xf>
    <xf numFmtId="2" fontId="32" fillId="3" borderId="28" xfId="0" applyNumberFormat="1" applyFont="1" applyFill="1" applyBorder="1" applyAlignment="1"/>
    <xf numFmtId="2" fontId="32" fillId="3" borderId="29" xfId="0" applyNumberFormat="1" applyFont="1" applyFill="1" applyBorder="1" applyAlignment="1"/>
    <xf numFmtId="2" fontId="32" fillId="3" borderId="45" xfId="0" applyNumberFormat="1" applyFont="1" applyFill="1" applyBorder="1" applyAlignment="1"/>
    <xf numFmtId="2" fontId="32" fillId="3" borderId="30" xfId="0" applyNumberFormat="1" applyFont="1" applyFill="1" applyBorder="1" applyAlignment="1"/>
    <xf numFmtId="2" fontId="32" fillId="3" borderId="31" xfId="0" applyNumberFormat="1" applyFont="1" applyFill="1" applyBorder="1" applyAlignment="1"/>
    <xf numFmtId="1" fontId="6" fillId="10" borderId="19" xfId="0" applyNumberFormat="1" applyFont="1" applyFill="1" applyBorder="1" applyAlignment="1"/>
    <xf numFmtId="1" fontId="6" fillId="11" borderId="0" xfId="0" applyNumberFormat="1" applyFont="1" applyFill="1" applyBorder="1" applyAlignment="1"/>
    <xf numFmtId="165" fontId="27" fillId="11" borderId="128" xfId="0" applyNumberFormat="1" applyFont="1" applyFill="1" applyBorder="1" applyAlignment="1"/>
    <xf numFmtId="1" fontId="6" fillId="11" borderId="129" xfId="0" applyNumberFormat="1" applyFont="1" applyFill="1" applyBorder="1" applyAlignment="1"/>
    <xf numFmtId="1" fontId="6" fillId="11" borderId="130" xfId="0" applyNumberFormat="1" applyFont="1" applyFill="1" applyBorder="1" applyAlignment="1"/>
    <xf numFmtId="2" fontId="6" fillId="11" borderId="130" xfId="0" applyNumberFormat="1" applyFont="1" applyFill="1" applyBorder="1" applyAlignment="1">
      <alignment horizontal="right"/>
    </xf>
    <xf numFmtId="2" fontId="6" fillId="11" borderId="0" xfId="0" applyNumberFormat="1" applyFont="1" applyFill="1" applyBorder="1" applyAlignment="1">
      <alignment horizontal="right"/>
    </xf>
    <xf numFmtId="2" fontId="6" fillId="2" borderId="131" xfId="0" applyNumberFormat="1" applyFont="1" applyFill="1" applyBorder="1" applyAlignment="1">
      <alignment horizontal="right"/>
    </xf>
    <xf numFmtId="2" fontId="6" fillId="2" borderId="132" xfId="0" applyNumberFormat="1" applyFont="1" applyFill="1" applyBorder="1" applyAlignment="1">
      <alignment horizontal="right"/>
    </xf>
    <xf numFmtId="2" fontId="6" fillId="2" borderId="133" xfId="0" applyNumberFormat="1" applyFont="1" applyFill="1" applyBorder="1" applyAlignment="1">
      <alignment horizontal="right"/>
    </xf>
    <xf numFmtId="2" fontId="6" fillId="2" borderId="132" xfId="0" applyNumberFormat="1" applyFont="1" applyFill="1" applyBorder="1" applyAlignment="1"/>
    <xf numFmtId="2" fontId="6" fillId="2" borderId="133" xfId="0" applyNumberFormat="1" applyFont="1" applyFill="1" applyBorder="1" applyAlignment="1"/>
    <xf numFmtId="1" fontId="6" fillId="2" borderId="106" xfId="0" applyNumberFormat="1" applyFont="1" applyFill="1" applyBorder="1" applyAlignment="1"/>
    <xf numFmtId="1" fontId="6" fillId="2" borderId="134" xfId="0" applyNumberFormat="1" applyFont="1" applyFill="1" applyBorder="1" applyAlignment="1"/>
    <xf numFmtId="1" fontId="27" fillId="2" borderId="93" xfId="0" applyNumberFormat="1" applyFont="1" applyFill="1" applyBorder="1" applyAlignment="1"/>
    <xf numFmtId="1" fontId="6" fillId="2" borderId="95" xfId="0" applyNumberFormat="1" applyFont="1" applyFill="1" applyBorder="1" applyAlignment="1"/>
    <xf numFmtId="1" fontId="6" fillId="2" borderId="107" xfId="0" applyNumberFormat="1" applyFont="1" applyFill="1" applyBorder="1" applyAlignment="1"/>
    <xf numFmtId="1" fontId="6" fillId="2" borderId="57" xfId="0" applyNumberFormat="1" applyFont="1" applyFill="1" applyBorder="1" applyAlignment="1"/>
    <xf numFmtId="1" fontId="14" fillId="2" borderId="59" xfId="0" applyNumberFormat="1" applyFont="1" applyFill="1" applyBorder="1" applyAlignment="1">
      <alignment horizontal="center"/>
    </xf>
    <xf numFmtId="1" fontId="14" fillId="2" borderId="136" xfId="0" applyNumberFormat="1" applyFont="1" applyFill="1" applyBorder="1" applyAlignment="1">
      <alignment horizontal="center"/>
    </xf>
    <xf numFmtId="1" fontId="14" fillId="2" borderId="63" xfId="0" applyNumberFormat="1" applyFont="1" applyFill="1" applyBorder="1" applyAlignment="1">
      <alignment horizontal="center"/>
    </xf>
    <xf numFmtId="1" fontId="24" fillId="2" borderId="137" xfId="0" applyNumberFormat="1" applyFont="1" applyFill="1" applyBorder="1" applyAlignment="1"/>
    <xf numFmtId="1" fontId="24" fillId="2" borderId="107" xfId="0" applyNumberFormat="1" applyFont="1" applyFill="1" applyBorder="1" applyAlignment="1"/>
    <xf numFmtId="1" fontId="24" fillId="2" borderId="123" xfId="0" applyNumberFormat="1" applyFont="1" applyFill="1" applyBorder="1" applyAlignment="1"/>
    <xf numFmtId="1" fontId="24" fillId="2" borderId="138" xfId="0" applyNumberFormat="1" applyFont="1" applyFill="1" applyBorder="1" applyAlignment="1"/>
    <xf numFmtId="1" fontId="24" fillId="2" borderId="125" xfId="0" applyNumberFormat="1" applyFont="1" applyFill="1" applyBorder="1" applyAlignment="1"/>
    <xf numFmtId="164" fontId="34" fillId="2" borderId="57" xfId="0" applyNumberFormat="1" applyFont="1" applyFill="1" applyBorder="1" applyAlignment="1"/>
    <xf numFmtId="2" fontId="6" fillId="2" borderId="139" xfId="0" applyNumberFormat="1" applyFont="1" applyFill="1" applyBorder="1" applyAlignment="1"/>
    <xf numFmtId="1" fontId="24" fillId="2" borderId="139" xfId="0" applyNumberFormat="1" applyFont="1" applyFill="1" applyBorder="1" applyAlignment="1"/>
    <xf numFmtId="164" fontId="34" fillId="2" borderId="139" xfId="0" applyNumberFormat="1" applyFont="1" applyFill="1" applyBorder="1" applyAlignment="1"/>
    <xf numFmtId="1" fontId="35" fillId="2" borderId="139" xfId="0" applyNumberFormat="1" applyFont="1" applyFill="1" applyBorder="1" applyAlignment="1"/>
    <xf numFmtId="1" fontId="6" fillId="2" borderId="140" xfId="0" applyNumberFormat="1" applyFont="1" applyFill="1" applyBorder="1" applyAlignment="1"/>
    <xf numFmtId="2" fontId="6" fillId="2" borderId="57" xfId="0" applyNumberFormat="1" applyFont="1" applyFill="1" applyBorder="1" applyAlignment="1"/>
    <xf numFmtId="1" fontId="35" fillId="2" borderId="57" xfId="0" applyNumberFormat="1" applyFont="1" applyFill="1" applyBorder="1" applyAlignment="1"/>
    <xf numFmtId="164" fontId="36" fillId="2" borderId="57" xfId="0" applyNumberFormat="1" applyFont="1" applyFill="1" applyBorder="1" applyAlignment="1"/>
    <xf numFmtId="2" fontId="37" fillId="4" borderId="15" xfId="0" applyNumberFormat="1" applyFont="1" applyFill="1" applyBorder="1" applyAlignment="1">
      <alignment horizontal="right" vertical="center"/>
    </xf>
    <xf numFmtId="2" fontId="37" fillId="7" borderId="22" xfId="0" applyNumberFormat="1" applyFont="1" applyFill="1" applyBorder="1" applyAlignment="1">
      <alignment horizontal="right" vertical="center"/>
    </xf>
    <xf numFmtId="2" fontId="37" fillId="7" borderId="23" xfId="0" applyNumberFormat="1" applyFont="1" applyFill="1" applyBorder="1" applyAlignment="1">
      <alignment horizontal="right" vertical="center"/>
    </xf>
    <xf numFmtId="2" fontId="37" fillId="7" borderId="24" xfId="0" applyNumberFormat="1" applyFont="1" applyFill="1" applyBorder="1" applyAlignment="1">
      <alignment horizontal="right" vertical="center"/>
    </xf>
    <xf numFmtId="2" fontId="37" fillId="7" borderId="25" xfId="0" applyNumberFormat="1" applyFont="1" applyFill="1" applyBorder="1" applyAlignment="1">
      <alignment horizontal="right" vertical="center"/>
    </xf>
    <xf numFmtId="2" fontId="37" fillId="7" borderId="44" xfId="0" applyNumberFormat="1" applyFont="1" applyFill="1" applyBorder="1" applyAlignment="1">
      <alignment horizontal="right" vertical="center"/>
    </xf>
    <xf numFmtId="2" fontId="37" fillId="5" borderId="22" xfId="0" applyNumberFormat="1" applyFont="1" applyFill="1" applyBorder="1" applyAlignment="1">
      <alignment horizontal="right" vertical="center"/>
    </xf>
    <xf numFmtId="2" fontId="37" fillId="5" borderId="23" xfId="0" applyNumberFormat="1" applyFont="1" applyFill="1" applyBorder="1" applyAlignment="1">
      <alignment horizontal="right" vertical="center"/>
    </xf>
    <xf numFmtId="2" fontId="37" fillId="5" borderId="24" xfId="0" applyNumberFormat="1" applyFont="1" applyFill="1" applyBorder="1" applyAlignment="1">
      <alignment horizontal="right" vertical="center"/>
    </xf>
    <xf numFmtId="2" fontId="37" fillId="5" borderId="25" xfId="0" applyNumberFormat="1" applyFont="1" applyFill="1" applyBorder="1" applyAlignment="1">
      <alignment horizontal="right" vertical="center"/>
    </xf>
    <xf numFmtId="2" fontId="37" fillId="5" borderId="44" xfId="0" applyNumberFormat="1" applyFont="1" applyFill="1" applyBorder="1" applyAlignment="1">
      <alignment horizontal="right" vertical="center"/>
    </xf>
    <xf numFmtId="2" fontId="37" fillId="6" borderId="15" xfId="0" applyNumberFormat="1" applyFont="1" applyFill="1" applyBorder="1" applyAlignment="1">
      <alignment horizontal="right" vertical="center"/>
    </xf>
    <xf numFmtId="2" fontId="37" fillId="6" borderId="12" xfId="0" applyNumberFormat="1" applyFont="1" applyFill="1" applyBorder="1" applyAlignment="1">
      <alignment horizontal="right" vertical="center"/>
    </xf>
    <xf numFmtId="2" fontId="37" fillId="9" borderId="1" xfId="0" applyNumberFormat="1" applyFont="1" applyFill="1" applyBorder="1" applyAlignment="1">
      <alignment horizontal="right" vertical="center"/>
    </xf>
    <xf numFmtId="2" fontId="37" fillId="8" borderId="28" xfId="0" applyNumberFormat="1" applyFont="1" applyFill="1" applyBorder="1" applyAlignment="1">
      <alignment horizontal="right" vertical="center"/>
    </xf>
    <xf numFmtId="2" fontId="37" fillId="8" borderId="29" xfId="0" applyNumberFormat="1" applyFont="1" applyFill="1" applyBorder="1" applyAlignment="1">
      <alignment horizontal="right" vertical="center"/>
    </xf>
    <xf numFmtId="2" fontId="37" fillId="8" borderId="30" xfId="0" applyNumberFormat="1" applyFont="1" applyFill="1" applyBorder="1" applyAlignment="1">
      <alignment horizontal="right" vertical="center"/>
    </xf>
    <xf numFmtId="2" fontId="37" fillId="8" borderId="31" xfId="0" applyNumberFormat="1" applyFont="1" applyFill="1" applyBorder="1" applyAlignment="1">
      <alignment horizontal="right" vertical="center"/>
    </xf>
    <xf numFmtId="2" fontId="37" fillId="8" borderId="45" xfId="0" applyNumberFormat="1" applyFont="1" applyFill="1" applyBorder="1" applyAlignment="1">
      <alignment horizontal="right" vertical="center"/>
    </xf>
    <xf numFmtId="2" fontId="37" fillId="6" borderId="34" xfId="0" applyNumberFormat="1" applyFont="1" applyFill="1" applyBorder="1" applyAlignment="1">
      <alignment horizontal="right" vertical="center"/>
    </xf>
    <xf numFmtId="2" fontId="37" fillId="8" borderId="48" xfId="0" applyNumberFormat="1" applyFont="1" applyFill="1" applyBorder="1" applyAlignment="1">
      <alignment horizontal="right" vertical="center"/>
    </xf>
    <xf numFmtId="2" fontId="37" fillId="8" borderId="49" xfId="0" applyNumberFormat="1" applyFont="1" applyFill="1" applyBorder="1" applyAlignment="1">
      <alignment horizontal="right" vertical="center"/>
    </xf>
    <xf numFmtId="2" fontId="37" fillId="8" borderId="50" xfId="0" applyNumberFormat="1" applyFont="1" applyFill="1" applyBorder="1" applyAlignment="1">
      <alignment horizontal="right" vertical="center"/>
    </xf>
    <xf numFmtId="2" fontId="37" fillId="8" borderId="54" xfId="0" applyNumberFormat="1" applyFont="1" applyFill="1" applyBorder="1" applyAlignment="1">
      <alignment horizontal="right" vertical="center"/>
    </xf>
    <xf numFmtId="2" fontId="37" fillId="8" borderId="51" xfId="0" applyNumberFormat="1" applyFont="1" applyFill="1" applyBorder="1" applyAlignment="1">
      <alignment horizontal="right" vertical="center"/>
    </xf>
    <xf numFmtId="2" fontId="37" fillId="6" borderId="1" xfId="0" applyNumberFormat="1" applyFont="1" applyFill="1" applyBorder="1" applyAlignment="1">
      <alignment horizontal="right" vertical="center"/>
    </xf>
    <xf numFmtId="2" fontId="37" fillId="9" borderId="6" xfId="0" applyNumberFormat="1" applyFont="1" applyFill="1" applyBorder="1" applyAlignment="1">
      <alignment horizontal="right" vertical="center"/>
    </xf>
    <xf numFmtId="2" fontId="23" fillId="4" borderId="17" xfId="0" applyNumberFormat="1" applyFont="1" applyFill="1" applyBorder="1" applyAlignment="1">
      <alignment horizontal="right" vertical="center"/>
    </xf>
    <xf numFmtId="2" fontId="23" fillId="7" borderId="24" xfId="0" applyNumberFormat="1" applyFont="1" applyFill="1" applyBorder="1" applyAlignment="1">
      <alignment horizontal="right" vertical="center"/>
    </xf>
    <xf numFmtId="2" fontId="23" fillId="5" borderId="24" xfId="0" applyNumberFormat="1" applyFont="1" applyFill="1" applyBorder="1" applyAlignment="1">
      <alignment horizontal="right" vertical="center"/>
    </xf>
    <xf numFmtId="2" fontId="37" fillId="4" borderId="16" xfId="0" applyNumberFormat="1" applyFont="1" applyFill="1" applyBorder="1" applyAlignment="1">
      <alignment horizontal="right" vertical="center"/>
    </xf>
    <xf numFmtId="2" fontId="37" fillId="4" borderId="17" xfId="0" applyNumberFormat="1" applyFont="1" applyFill="1" applyBorder="1" applyAlignment="1">
      <alignment horizontal="right" vertical="center"/>
    </xf>
    <xf numFmtId="2" fontId="17" fillId="5" borderId="48" xfId="0" applyNumberFormat="1" applyFont="1" applyFill="1" applyBorder="1" applyAlignment="1">
      <alignment horizontal="right" vertical="center"/>
    </xf>
    <xf numFmtId="2" fontId="17" fillId="5" borderId="49" xfId="0" applyNumberFormat="1" applyFont="1" applyFill="1" applyBorder="1" applyAlignment="1">
      <alignment horizontal="right" vertical="center"/>
    </xf>
    <xf numFmtId="2" fontId="23" fillId="5" borderId="49" xfId="0" applyNumberFormat="1" applyFont="1" applyFill="1" applyBorder="1" applyAlignment="1">
      <alignment horizontal="right" vertical="center"/>
    </xf>
    <xf numFmtId="2" fontId="23" fillId="5" borderId="50" xfId="0" applyNumberFormat="1" applyFont="1" applyFill="1" applyBorder="1" applyAlignment="1">
      <alignment horizontal="right" vertical="center"/>
    </xf>
    <xf numFmtId="2" fontId="37" fillId="5" borderId="54" xfId="0" applyNumberFormat="1" applyFont="1" applyFill="1" applyBorder="1" applyAlignment="1">
      <alignment horizontal="right" vertical="center"/>
    </xf>
    <xf numFmtId="2" fontId="37" fillId="5" borderId="49" xfId="0" applyNumberFormat="1" applyFont="1" applyFill="1" applyBorder="1" applyAlignment="1">
      <alignment horizontal="right" vertical="center"/>
    </xf>
    <xf numFmtId="2" fontId="37" fillId="5" borderId="51" xfId="0" applyNumberFormat="1" applyFont="1" applyFill="1" applyBorder="1" applyAlignment="1">
      <alignment horizontal="right" vertical="center"/>
    </xf>
    <xf numFmtId="2" fontId="37" fillId="5" borderId="48" xfId="0" applyNumberFormat="1" applyFont="1" applyFill="1" applyBorder="1" applyAlignment="1">
      <alignment horizontal="right" vertical="center"/>
    </xf>
    <xf numFmtId="2" fontId="37" fillId="5" borderId="50" xfId="0" applyNumberFormat="1" applyFont="1" applyFill="1" applyBorder="1" applyAlignment="1">
      <alignment horizontal="right" vertical="center"/>
    </xf>
    <xf numFmtId="2" fontId="23" fillId="6" borderId="13" xfId="0" applyNumberFormat="1" applyFont="1" applyFill="1" applyBorder="1" applyAlignment="1">
      <alignment horizontal="right" vertical="center"/>
    </xf>
    <xf numFmtId="2" fontId="37" fillId="6" borderId="55" xfId="0" applyNumberFormat="1" applyFont="1" applyFill="1" applyBorder="1" applyAlignment="1">
      <alignment horizontal="right" vertical="center"/>
    </xf>
    <xf numFmtId="2" fontId="37" fillId="6" borderId="4" xfId="0" applyNumberFormat="1" applyFont="1" applyFill="1" applyBorder="1" applyAlignment="1">
      <alignment horizontal="right" vertical="center"/>
    </xf>
    <xf numFmtId="2" fontId="37" fillId="6" borderId="5" xfId="0" applyNumberFormat="1" applyFont="1" applyFill="1" applyBorder="1" applyAlignment="1">
      <alignment horizontal="right" vertical="center"/>
    </xf>
    <xf numFmtId="2" fontId="37" fillId="6" borderId="13" xfId="0" applyNumberFormat="1" applyFont="1" applyFill="1" applyBorder="1" applyAlignment="1">
      <alignment horizontal="right" vertical="center"/>
    </xf>
    <xf numFmtId="2" fontId="17" fillId="4" borderId="34" xfId="0" applyNumberFormat="1" applyFont="1" applyFill="1" applyBorder="1" applyAlignment="1">
      <alignment horizontal="right" vertical="center"/>
    </xf>
    <xf numFmtId="2" fontId="17" fillId="4" borderId="35" xfId="0" applyNumberFormat="1" applyFont="1" applyFill="1" applyBorder="1" applyAlignment="1">
      <alignment horizontal="right" vertical="center"/>
    </xf>
    <xf numFmtId="2" fontId="23" fillId="4" borderId="35" xfId="0" applyNumberFormat="1" applyFont="1" applyFill="1" applyBorder="1" applyAlignment="1">
      <alignment horizontal="right" vertical="center"/>
    </xf>
    <xf numFmtId="2" fontId="23" fillId="4" borderId="36" xfId="0" applyNumberFormat="1" applyFont="1" applyFill="1" applyBorder="1" applyAlignment="1">
      <alignment horizontal="right" vertical="center"/>
    </xf>
    <xf numFmtId="2" fontId="37" fillId="4" borderId="37" xfId="0" applyNumberFormat="1" applyFont="1" applyFill="1" applyBorder="1" applyAlignment="1">
      <alignment horizontal="right" vertical="center"/>
    </xf>
    <xf numFmtId="2" fontId="37" fillId="4" borderId="35" xfId="0" applyNumberFormat="1" applyFont="1" applyFill="1" applyBorder="1" applyAlignment="1">
      <alignment horizontal="right" vertical="center"/>
    </xf>
    <xf numFmtId="2" fontId="37" fillId="4" borderId="46" xfId="0" applyNumberFormat="1" applyFont="1" applyFill="1" applyBorder="1" applyAlignment="1">
      <alignment horizontal="right" vertical="center"/>
    </xf>
    <xf numFmtId="2" fontId="37" fillId="4" borderId="34" xfId="0" applyNumberFormat="1" applyFont="1" applyFill="1" applyBorder="1" applyAlignment="1">
      <alignment horizontal="right" vertical="center"/>
    </xf>
    <xf numFmtId="2" fontId="37" fillId="4" borderId="36" xfId="0" applyNumberFormat="1" applyFont="1" applyFill="1" applyBorder="1" applyAlignment="1">
      <alignment horizontal="right" vertical="center"/>
    </xf>
    <xf numFmtId="2" fontId="23" fillId="6" borderId="17" xfId="0" applyNumberFormat="1" applyFont="1" applyFill="1" applyBorder="1" applyAlignment="1">
      <alignment horizontal="right" vertical="center"/>
    </xf>
    <xf numFmtId="2" fontId="37" fillId="6" borderId="18" xfId="0" applyNumberFormat="1" applyFont="1" applyFill="1" applyBorder="1" applyAlignment="1">
      <alignment horizontal="right" vertical="center"/>
    </xf>
    <xf numFmtId="2" fontId="37" fillId="6" borderId="16" xfId="0" applyNumberFormat="1" applyFont="1" applyFill="1" applyBorder="1" applyAlignment="1">
      <alignment horizontal="right" vertical="center"/>
    </xf>
    <xf numFmtId="2" fontId="37" fillId="6" borderId="43" xfId="0" applyNumberFormat="1" applyFont="1" applyFill="1" applyBorder="1" applyAlignment="1">
      <alignment horizontal="right" vertical="center"/>
    </xf>
    <xf numFmtId="2" fontId="37" fillId="6" borderId="17" xfId="0" applyNumberFormat="1" applyFont="1" applyFill="1" applyBorder="1" applyAlignment="1">
      <alignment horizontal="right" vertical="center"/>
    </xf>
    <xf numFmtId="2" fontId="17" fillId="5" borderId="28" xfId="0" applyNumberFormat="1" applyFont="1" applyFill="1" applyBorder="1" applyAlignment="1">
      <alignment horizontal="right" vertical="center"/>
    </xf>
    <xf numFmtId="2" fontId="17" fillId="5" borderId="29" xfId="0" applyNumberFormat="1" applyFont="1" applyFill="1" applyBorder="1" applyAlignment="1">
      <alignment horizontal="right" vertical="center"/>
    </xf>
    <xf numFmtId="2" fontId="23" fillId="5" borderId="29" xfId="0" applyNumberFormat="1" applyFont="1" applyFill="1" applyBorder="1" applyAlignment="1">
      <alignment horizontal="right" vertical="center"/>
    </xf>
    <xf numFmtId="2" fontId="23" fillId="5" borderId="30" xfId="0" applyNumberFormat="1" applyFont="1" applyFill="1" applyBorder="1" applyAlignment="1">
      <alignment horizontal="right" vertical="center"/>
    </xf>
    <xf numFmtId="2" fontId="37" fillId="5" borderId="31" xfId="0" applyNumberFormat="1" applyFont="1" applyFill="1" applyBorder="1" applyAlignment="1">
      <alignment horizontal="right" vertical="center"/>
    </xf>
    <xf numFmtId="2" fontId="37" fillId="5" borderId="29" xfId="0" applyNumberFormat="1" applyFont="1" applyFill="1" applyBorder="1" applyAlignment="1">
      <alignment horizontal="right" vertical="center"/>
    </xf>
    <xf numFmtId="2" fontId="37" fillId="5" borderId="45" xfId="0" applyNumberFormat="1" applyFont="1" applyFill="1" applyBorder="1" applyAlignment="1">
      <alignment horizontal="right" vertical="center"/>
    </xf>
    <xf numFmtId="2" fontId="37" fillId="5" borderId="28" xfId="0" applyNumberFormat="1" applyFont="1" applyFill="1" applyBorder="1" applyAlignment="1">
      <alignment horizontal="right" vertical="center"/>
    </xf>
    <xf numFmtId="2" fontId="37" fillId="5" borderId="30" xfId="0" applyNumberFormat="1" applyFont="1" applyFill="1" applyBorder="1" applyAlignment="1">
      <alignment horizontal="right" vertical="center"/>
    </xf>
    <xf numFmtId="2" fontId="23" fillId="9" borderId="3" xfId="0" applyNumberFormat="1" applyFont="1" applyFill="1" applyBorder="1" applyAlignment="1">
      <alignment horizontal="right" vertical="center"/>
    </xf>
    <xf numFmtId="2" fontId="37" fillId="9" borderId="42" xfId="0" applyNumberFormat="1" applyFont="1" applyFill="1" applyBorder="1" applyAlignment="1">
      <alignment horizontal="right" vertical="center"/>
    </xf>
    <xf numFmtId="2" fontId="37" fillId="9" borderId="2" xfId="0" applyNumberFormat="1" applyFont="1" applyFill="1" applyBorder="1" applyAlignment="1">
      <alignment horizontal="right" vertical="center"/>
    </xf>
    <xf numFmtId="2" fontId="37" fillId="9" borderId="52" xfId="0" applyNumberFormat="1" applyFont="1" applyFill="1" applyBorder="1" applyAlignment="1">
      <alignment horizontal="right" vertical="center"/>
    </xf>
    <xf numFmtId="2" fontId="37" fillId="9" borderId="3" xfId="0" applyNumberFormat="1" applyFont="1" applyFill="1" applyBorder="1" applyAlignment="1">
      <alignment horizontal="right" vertical="center"/>
    </xf>
    <xf numFmtId="2" fontId="23" fillId="8" borderId="50" xfId="0" applyNumberFormat="1" applyFont="1" applyFill="1" applyBorder="1" applyAlignment="1">
      <alignment horizontal="right" vertical="center"/>
    </xf>
    <xf numFmtId="2" fontId="23" fillId="6" borderId="36" xfId="0" applyNumberFormat="1" applyFont="1" applyFill="1" applyBorder="1" applyAlignment="1">
      <alignment horizontal="right" vertical="center"/>
    </xf>
    <xf numFmtId="2" fontId="37" fillId="6" borderId="37" xfId="0" applyNumberFormat="1" applyFont="1" applyFill="1" applyBorder="1" applyAlignment="1">
      <alignment horizontal="right" vertical="center"/>
    </xf>
    <xf numFmtId="2" fontId="37" fillId="6" borderId="35" xfId="0" applyNumberFormat="1" applyFont="1" applyFill="1" applyBorder="1" applyAlignment="1">
      <alignment horizontal="right" vertical="center"/>
    </xf>
    <xf numFmtId="2" fontId="37" fillId="6" borderId="46" xfId="0" applyNumberFormat="1" applyFont="1" applyFill="1" applyBorder="1" applyAlignment="1">
      <alignment horizontal="right" vertical="center"/>
    </xf>
    <xf numFmtId="2" fontId="37" fillId="6" borderId="36" xfId="0" applyNumberFormat="1" applyFont="1" applyFill="1" applyBorder="1" applyAlignment="1">
      <alignment horizontal="right" vertical="center"/>
    </xf>
    <xf numFmtId="2" fontId="23" fillId="8" borderId="30" xfId="0" applyNumberFormat="1" applyFont="1" applyFill="1" applyBorder="1" applyAlignment="1">
      <alignment horizontal="right" vertical="center"/>
    </xf>
    <xf numFmtId="2" fontId="17" fillId="9" borderId="141" xfId="0" applyNumberFormat="1" applyFont="1" applyFill="1" applyBorder="1" applyAlignment="1">
      <alignment horizontal="right" vertical="center"/>
    </xf>
    <xf numFmtId="2" fontId="17" fillId="9" borderId="142" xfId="0" applyNumberFormat="1" applyFont="1" applyFill="1" applyBorder="1" applyAlignment="1">
      <alignment horizontal="right" vertical="center"/>
    </xf>
    <xf numFmtId="2" fontId="23" fillId="9" borderId="142" xfId="0" applyNumberFormat="1" applyFont="1" applyFill="1" applyBorder="1" applyAlignment="1">
      <alignment horizontal="right" vertical="center"/>
    </xf>
    <xf numFmtId="2" fontId="23" fillId="9" borderId="143" xfId="0" applyNumberFormat="1" applyFont="1" applyFill="1" applyBorder="1" applyAlignment="1">
      <alignment horizontal="right" vertical="center"/>
    </xf>
    <xf numFmtId="2" fontId="37" fillId="9" borderId="144" xfId="0" applyNumberFormat="1" applyFont="1" applyFill="1" applyBorder="1" applyAlignment="1">
      <alignment horizontal="right" vertical="center"/>
    </xf>
    <xf numFmtId="2" fontId="37" fillId="9" borderId="142" xfId="0" applyNumberFormat="1" applyFont="1" applyFill="1" applyBorder="1" applyAlignment="1">
      <alignment horizontal="right" vertical="center"/>
    </xf>
    <xf numFmtId="2" fontId="37" fillId="9" borderId="145" xfId="0" applyNumberFormat="1" applyFont="1" applyFill="1" applyBorder="1" applyAlignment="1">
      <alignment horizontal="right" vertical="center"/>
    </xf>
    <xf numFmtId="2" fontId="37" fillId="9" borderId="141" xfId="0" applyNumberFormat="1" applyFont="1" applyFill="1" applyBorder="1" applyAlignment="1">
      <alignment horizontal="right" vertical="center"/>
    </xf>
    <xf numFmtId="2" fontId="37" fillId="9" borderId="143" xfId="0" applyNumberFormat="1" applyFont="1" applyFill="1" applyBorder="1" applyAlignment="1">
      <alignment horizontal="right" vertical="center"/>
    </xf>
    <xf numFmtId="2" fontId="23" fillId="9" borderId="8" xfId="0" applyNumberFormat="1" applyFont="1" applyFill="1" applyBorder="1" applyAlignment="1">
      <alignment horizontal="right" vertical="center"/>
    </xf>
    <xf numFmtId="2" fontId="37" fillId="9" borderId="7" xfId="0" applyNumberFormat="1" applyFont="1" applyFill="1" applyBorder="1" applyAlignment="1">
      <alignment horizontal="right" vertical="center"/>
    </xf>
    <xf numFmtId="2" fontId="37" fillId="9" borderId="8" xfId="0" applyNumberFormat="1" applyFont="1" applyFill="1" applyBorder="1" applyAlignment="1">
      <alignment horizontal="right" vertical="center"/>
    </xf>
    <xf numFmtId="2" fontId="37" fillId="4" borderId="18" xfId="0" applyNumberFormat="1" applyFont="1" applyFill="1" applyBorder="1" applyAlignment="1">
      <alignment horizontal="right" vertical="center"/>
    </xf>
    <xf numFmtId="2" fontId="37" fillId="4" borderId="43" xfId="0" applyNumberFormat="1" applyFont="1" applyFill="1" applyBorder="1" applyAlignment="1">
      <alignment horizontal="right" vertical="center"/>
    </xf>
    <xf numFmtId="2" fontId="23" fillId="6" borderId="3" xfId="0" applyNumberFormat="1" applyFont="1" applyFill="1" applyBorder="1" applyAlignment="1">
      <alignment horizontal="right" vertical="center"/>
    </xf>
    <xf numFmtId="2" fontId="37" fillId="6" borderId="42" xfId="0" applyNumberFormat="1" applyFont="1" applyFill="1" applyBorder="1" applyAlignment="1">
      <alignment horizontal="right" vertical="center"/>
    </xf>
    <xf numFmtId="2" fontId="37" fillId="6" borderId="2" xfId="0" applyNumberFormat="1" applyFont="1" applyFill="1" applyBorder="1" applyAlignment="1">
      <alignment horizontal="right" vertical="center"/>
    </xf>
    <xf numFmtId="2" fontId="37" fillId="6" borderId="52" xfId="0" applyNumberFormat="1" applyFont="1" applyFill="1" applyBorder="1" applyAlignment="1">
      <alignment horizontal="right" vertical="center"/>
    </xf>
    <xf numFmtId="2" fontId="37" fillId="6" borderId="3" xfId="0" applyNumberFormat="1" applyFont="1" applyFill="1" applyBorder="1" applyAlignment="1">
      <alignment horizontal="right" vertical="center"/>
    </xf>
    <xf numFmtId="0" fontId="0" fillId="0" borderId="0" xfId="0" applyBorder="1"/>
    <xf numFmtId="2" fontId="37" fillId="9" borderId="56" xfId="0" applyNumberFormat="1" applyFont="1" applyFill="1" applyBorder="1" applyAlignment="1">
      <alignment horizontal="right" vertical="center"/>
    </xf>
    <xf numFmtId="2" fontId="37" fillId="9" borderId="53" xfId="0" applyNumberFormat="1" applyFont="1" applyFill="1" applyBorder="1" applyAlignment="1">
      <alignment horizontal="right" vertical="center"/>
    </xf>
    <xf numFmtId="0" fontId="14" fillId="0" borderId="11" xfId="0" applyNumberFormat="1" applyFont="1" applyBorder="1" applyAlignment="1">
      <alignment horizontal="center" vertical="center"/>
    </xf>
    <xf numFmtId="0" fontId="14" fillId="0" borderId="32" xfId="0" applyNumberFormat="1" applyFont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0" fontId="14" fillId="0" borderId="19" xfId="0" applyNumberFormat="1" applyFont="1" applyBorder="1" applyAlignment="1">
      <alignment horizontal="center" vertical="center"/>
    </xf>
    <xf numFmtId="0" fontId="6" fillId="2" borderId="146" xfId="0" applyNumberFormat="1" applyFont="1" applyFill="1" applyBorder="1" applyAlignment="1">
      <alignment horizontal="center" vertical="center" wrapText="1"/>
    </xf>
    <xf numFmtId="0" fontId="6" fillId="2" borderId="147" xfId="0" applyNumberFormat="1" applyFont="1" applyFill="1" applyBorder="1" applyAlignment="1">
      <alignment horizontal="center" vertical="center" wrapText="1"/>
    </xf>
    <xf numFmtId="0" fontId="40" fillId="2" borderId="47" xfId="0" applyNumberFormat="1" applyFont="1" applyFill="1" applyBorder="1" applyAlignment="1">
      <alignment horizontal="center" vertical="center" wrapText="1"/>
    </xf>
    <xf numFmtId="0" fontId="41" fillId="2" borderId="146" xfId="0" applyNumberFormat="1" applyFont="1" applyFill="1" applyBorder="1" applyAlignment="1">
      <alignment horizontal="center" vertical="center" wrapText="1"/>
    </xf>
    <xf numFmtId="0" fontId="22" fillId="2" borderId="0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/>
    </xf>
    <xf numFmtId="0" fontId="11" fillId="2" borderId="2" xfId="0" applyNumberFormat="1" applyFont="1" applyFill="1" applyBorder="1" applyAlignment="1">
      <alignment horizontal="center"/>
    </xf>
    <xf numFmtId="0" fontId="11" fillId="2" borderId="3" xfId="0" applyNumberFormat="1" applyFont="1" applyFill="1" applyBorder="1" applyAlignment="1">
      <alignment horizontal="center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19" xfId="0" applyNumberFormat="1" applyFont="1" applyFill="1" applyBorder="1" applyAlignment="1">
      <alignment horizontal="center" vertical="center"/>
    </xf>
    <xf numFmtId="0" fontId="13" fillId="2" borderId="32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19" xfId="0" applyNumberFormat="1" applyFont="1" applyFill="1" applyBorder="1" applyAlignment="1">
      <alignment horizontal="center" vertical="center"/>
    </xf>
    <xf numFmtId="0" fontId="14" fillId="2" borderId="32" xfId="0" applyNumberFormat="1" applyFont="1" applyFill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20" xfId="0" applyNumberFormat="1" applyFont="1" applyBorder="1" applyAlignment="1">
      <alignment horizontal="center" vertical="center"/>
    </xf>
    <xf numFmtId="0" fontId="14" fillId="0" borderId="26" xfId="0" applyNumberFormat="1" applyFont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1" fontId="28" fillId="2" borderId="60" xfId="0" applyNumberFormat="1" applyFont="1" applyFill="1" applyBorder="1" applyAlignment="1">
      <alignment horizontal="right" wrapText="1"/>
    </xf>
    <xf numFmtId="1" fontId="11" fillId="2" borderId="59" xfId="0" applyNumberFormat="1" applyFont="1" applyFill="1" applyBorder="1" applyAlignment="1">
      <alignment horizontal="center"/>
    </xf>
    <xf numFmtId="3" fontId="11" fillId="2" borderId="59" xfId="0" applyNumberFormat="1" applyFont="1" applyFill="1" applyBorder="1" applyAlignment="1">
      <alignment horizontal="center"/>
    </xf>
    <xf numFmtId="1" fontId="14" fillId="2" borderId="135" xfId="0" applyNumberFormat="1" applyFont="1" applyFill="1" applyBorder="1" applyAlignment="1">
      <alignment horizontal="center" vertical="center"/>
    </xf>
    <xf numFmtId="1" fontId="29" fillId="2" borderId="85" xfId="0" applyNumberFormat="1" applyFont="1" applyFill="1" applyBorder="1" applyAlignment="1">
      <alignment horizontal="center" vertical="center"/>
    </xf>
    <xf numFmtId="1" fontId="29" fillId="2" borderId="90" xfId="0" applyNumberFormat="1" applyFont="1" applyFill="1" applyBorder="1" applyAlignment="1">
      <alignment horizontal="center" vertical="center"/>
    </xf>
    <xf numFmtId="1" fontId="29" fillId="2" borderId="101" xfId="0" applyNumberFormat="1" applyFont="1" applyFill="1" applyBorder="1" applyAlignment="1">
      <alignment horizontal="center" vertical="center"/>
    </xf>
    <xf numFmtId="1" fontId="29" fillId="2" borderId="108" xfId="0" applyNumberFormat="1" applyFont="1" applyFill="1" applyBorder="1" applyAlignment="1">
      <alignment horizontal="center" vertical="center" wrapText="1"/>
    </xf>
    <xf numFmtId="1" fontId="29" fillId="2" borderId="110" xfId="0" applyNumberFormat="1" applyFont="1" applyFill="1" applyBorder="1" applyAlignment="1">
      <alignment horizontal="center" vertical="center" wrapText="1"/>
    </xf>
    <xf numFmtId="1" fontId="29" fillId="2" borderId="115" xfId="0" applyNumberFormat="1" applyFont="1" applyFill="1" applyBorder="1" applyAlignment="1">
      <alignment horizontal="center" vertical="center" wrapText="1"/>
    </xf>
    <xf numFmtId="1" fontId="29" fillId="2" borderId="19" xfId="0" applyNumberFormat="1" applyFont="1" applyFill="1" applyBorder="1" applyAlignment="1">
      <alignment horizontal="center" vertical="center" wrapText="1"/>
    </xf>
    <xf numFmtId="1" fontId="29" fillId="2" borderId="32" xfId="0" applyNumberFormat="1" applyFont="1" applyFill="1" applyBorder="1" applyAlignment="1">
      <alignment horizontal="center" vertical="center" wrapText="1"/>
    </xf>
    <xf numFmtId="1" fontId="33" fillId="2" borderId="98" xfId="0" applyNumberFormat="1" applyFont="1" applyFill="1" applyBorder="1" applyAlignment="1">
      <alignment horizontal="center"/>
    </xf>
    <xf numFmtId="1" fontId="33" fillId="2" borderId="99" xfId="0" applyNumberFormat="1" applyFont="1" applyFill="1" applyBorder="1" applyAlignment="1">
      <alignment horizontal="center"/>
    </xf>
    <xf numFmtId="1" fontId="33" fillId="2" borderId="100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4D4D4D"/>
      <color rgb="FF3333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38100</xdr:rowOff>
    </xdr:from>
    <xdr:to>
      <xdr:col>6</xdr:col>
      <xdr:colOff>471794</xdr:colOff>
      <xdr:row>2</xdr:row>
      <xdr:rowOff>47625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38100"/>
          <a:ext cx="1814366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2;&#1081;&#1089;%20&#1083;&#1080;&#1089;&#1090;%20&#1085;&#1072;%20&#1087;&#1072;&#1082;&#1077;&#1090;&#1099;%20&#1089;%20&#1074;&#1099;&#1088;&#1091;&#1073;&#1085;&#1086;&#1081;%20&#1088;&#1091;&#1095;&#1082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- Tаблица 1 - Tаблица 1"/>
      <sheetName val="Лист2 - Tаблица 1 - Tаблица 1"/>
      <sheetName val="Лист 3 - Unnamed Table - Tаблиц"/>
      <sheetName val="Лист1"/>
    </sheetNames>
    <sheetDataSet>
      <sheetData sheetId="0"/>
      <sheetData sheetId="1">
        <row r="57">
          <cell r="C57">
            <v>14.4</v>
          </cell>
          <cell r="F57">
            <v>16.3</v>
          </cell>
          <cell r="H57">
            <v>22</v>
          </cell>
          <cell r="J57">
            <v>31.5</v>
          </cell>
          <cell r="L57">
            <v>42.9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view="pageBreakPreview" zoomScale="60" zoomScaleNormal="70" workbookViewId="0">
      <selection activeCell="I14" sqref="I14"/>
    </sheetView>
  </sheetViews>
  <sheetFormatPr defaultRowHeight="15"/>
  <cols>
    <col min="1" max="1" width="24.7109375" customWidth="1"/>
    <col min="2" max="2" width="14.140625" customWidth="1"/>
    <col min="3" max="3" width="8.140625" customWidth="1"/>
    <col min="4" max="4" width="6.85546875" customWidth="1"/>
    <col min="5" max="24" width="9.140625" customWidth="1"/>
  </cols>
  <sheetData>
    <row r="1" spans="1:24" ht="26.25" customHeight="1">
      <c r="A1" s="353" t="s">
        <v>0</v>
      </c>
      <c r="B1" s="353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343" t="s">
        <v>57</v>
      </c>
      <c r="T1" s="343"/>
      <c r="U1" s="343"/>
      <c r="V1" s="343"/>
      <c r="W1" s="343"/>
      <c r="X1" s="343"/>
    </row>
    <row r="2" spans="1:24" ht="63" customHeight="1">
      <c r="A2" s="353" t="s">
        <v>1</v>
      </c>
      <c r="B2" s="353"/>
      <c r="C2" s="353"/>
      <c r="D2" s="6"/>
      <c r="E2" s="7"/>
      <c r="F2" s="6"/>
      <c r="G2" s="6"/>
      <c r="H2" s="8" t="s">
        <v>2</v>
      </c>
      <c r="I2" s="3"/>
      <c r="J2" s="9"/>
      <c r="K2" s="7"/>
      <c r="L2" s="7"/>
      <c r="M2" s="10"/>
      <c r="N2" s="7"/>
      <c r="O2" s="7"/>
      <c r="P2" s="3"/>
      <c r="Q2" s="7"/>
      <c r="R2" s="7"/>
      <c r="S2" s="343"/>
      <c r="T2" s="343"/>
      <c r="U2" s="343"/>
      <c r="V2" s="343"/>
      <c r="W2" s="343"/>
      <c r="X2" s="343"/>
    </row>
    <row r="3" spans="1:24" ht="19.5" thickBot="1">
      <c r="A3" s="11"/>
      <c r="B3" s="11"/>
      <c r="C3" s="362" t="s">
        <v>3</v>
      </c>
      <c r="D3" s="362"/>
      <c r="E3" s="362"/>
      <c r="F3" s="11"/>
      <c r="G3" s="11"/>
      <c r="H3" s="11"/>
      <c r="I3" s="12" t="s">
        <v>4</v>
      </c>
      <c r="J3" s="11"/>
      <c r="K3" s="11"/>
      <c r="L3" s="11"/>
      <c r="M3" s="11"/>
      <c r="N3" s="11"/>
      <c r="O3" s="11"/>
      <c r="P3" s="53" t="s">
        <v>56</v>
      </c>
      <c r="Q3" s="11"/>
      <c r="R3" s="11"/>
      <c r="S3" s="334"/>
      <c r="T3" s="334"/>
      <c r="U3" s="334"/>
      <c r="V3" s="334"/>
      <c r="W3" s="334"/>
      <c r="X3" s="5"/>
    </row>
    <row r="4" spans="1:24" ht="16.5" thickBot="1">
      <c r="A4" s="344" t="s">
        <v>5</v>
      </c>
      <c r="B4" s="345"/>
      <c r="C4" s="345"/>
      <c r="D4" s="346"/>
      <c r="E4" s="347">
        <v>5000</v>
      </c>
      <c r="F4" s="348"/>
      <c r="G4" s="348"/>
      <c r="H4" s="349"/>
      <c r="I4" s="335">
        <v>10000</v>
      </c>
      <c r="J4" s="336"/>
      <c r="K4" s="336"/>
      <c r="L4" s="337"/>
      <c r="M4" s="335">
        <v>20000</v>
      </c>
      <c r="N4" s="336"/>
      <c r="O4" s="336"/>
      <c r="P4" s="337"/>
      <c r="Q4" s="335">
        <v>50000</v>
      </c>
      <c r="R4" s="336"/>
      <c r="S4" s="336"/>
      <c r="T4" s="337"/>
      <c r="U4" s="335" t="s">
        <v>6</v>
      </c>
      <c r="V4" s="336"/>
      <c r="W4" s="336"/>
      <c r="X4" s="337"/>
    </row>
    <row r="5" spans="1:24" ht="15.75" thickBot="1">
      <c r="A5" s="354" t="s">
        <v>7</v>
      </c>
      <c r="B5" s="354"/>
      <c r="C5" s="354"/>
      <c r="D5" s="355"/>
      <c r="E5" s="13" t="s">
        <v>8</v>
      </c>
      <c r="F5" s="14" t="s">
        <v>9</v>
      </c>
      <c r="G5" s="14" t="s">
        <v>10</v>
      </c>
      <c r="H5" s="15" t="s">
        <v>11</v>
      </c>
      <c r="I5" s="13" t="s">
        <v>8</v>
      </c>
      <c r="J5" s="14" t="s">
        <v>9</v>
      </c>
      <c r="K5" s="14" t="s">
        <v>10</v>
      </c>
      <c r="L5" s="15" t="s">
        <v>11</v>
      </c>
      <c r="M5" s="13" t="s">
        <v>8</v>
      </c>
      <c r="N5" s="14" t="s">
        <v>9</v>
      </c>
      <c r="O5" s="14" t="s">
        <v>10</v>
      </c>
      <c r="P5" s="15" t="s">
        <v>11</v>
      </c>
      <c r="Q5" s="13" t="s">
        <v>8</v>
      </c>
      <c r="R5" s="14" t="s">
        <v>9</v>
      </c>
      <c r="S5" s="14" t="s">
        <v>10</v>
      </c>
      <c r="T5" s="15" t="s">
        <v>11</v>
      </c>
      <c r="U5" s="13" t="s">
        <v>8</v>
      </c>
      <c r="V5" s="14" t="s">
        <v>9</v>
      </c>
      <c r="W5" s="14" t="s">
        <v>10</v>
      </c>
      <c r="X5" s="15" t="s">
        <v>11</v>
      </c>
    </row>
    <row r="6" spans="1:24" ht="37.5" customHeight="1" thickBot="1">
      <c r="A6" s="16" t="s">
        <v>12</v>
      </c>
      <c r="B6" s="17" t="s">
        <v>13</v>
      </c>
      <c r="C6" s="18" t="s">
        <v>14</v>
      </c>
      <c r="D6" s="30" t="s">
        <v>15</v>
      </c>
      <c r="E6" s="341" t="s">
        <v>58</v>
      </c>
      <c r="F6" s="342"/>
      <c r="G6" s="342"/>
      <c r="H6" s="342"/>
      <c r="I6" s="339" t="s">
        <v>16</v>
      </c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40"/>
    </row>
    <row r="7" spans="1:24" ht="18.75" customHeight="1">
      <c r="A7" s="350" t="s">
        <v>17</v>
      </c>
      <c r="B7" s="356">
        <v>100</v>
      </c>
      <c r="C7" s="19"/>
      <c r="D7" s="55">
        <f>'[1]Лист2 - Tаблица 1 - Tаблица 1'!C57</f>
        <v>14.4</v>
      </c>
      <c r="E7" s="31">
        <f>Лист2!C54</f>
        <v>6.4799999999999995</v>
      </c>
      <c r="F7" s="32">
        <f>Лист2!D54</f>
        <v>6.9983999999999993</v>
      </c>
      <c r="G7" s="64">
        <f>Лист2!E54</f>
        <v>7.5167999999999999</v>
      </c>
      <c r="H7" s="256">
        <f>Лист2!F54</f>
        <v>8.5535999999999994</v>
      </c>
      <c r="I7" s="322">
        <f>Лист2!G54</f>
        <v>5.5727999999999991</v>
      </c>
      <c r="J7" s="259">
        <f>Лист2!H54</f>
        <v>6.0186239999999991</v>
      </c>
      <c r="K7" s="259">
        <f>Лист2!I54</f>
        <v>6.4644479999999991</v>
      </c>
      <c r="L7" s="323">
        <f>Лист2!J54</f>
        <v>7.3560959999999991</v>
      </c>
      <c r="M7" s="229">
        <f>Лист2!K54</f>
        <v>5.2487999999999992</v>
      </c>
      <c r="N7" s="259">
        <f>Лист2!L54</f>
        <v>5.6687039999999991</v>
      </c>
      <c r="O7" s="259">
        <f>Лист2!M54</f>
        <v>6.0886079999999989</v>
      </c>
      <c r="P7" s="260">
        <f>Лист2!N54</f>
        <v>6.9284159999999986</v>
      </c>
      <c r="Q7" s="322">
        <f>Лист2!O54</f>
        <v>4.5359999999999996</v>
      </c>
      <c r="R7" s="259">
        <f>Лист2!P54</f>
        <v>4.8988799999999992</v>
      </c>
      <c r="S7" s="259">
        <f>Лист2!Q54</f>
        <v>5.2617599999999998</v>
      </c>
      <c r="T7" s="323">
        <f>Лист2!R54</f>
        <v>5.98752</v>
      </c>
      <c r="U7" s="229">
        <f>Лист2!S54</f>
        <v>4.3415999999999997</v>
      </c>
      <c r="V7" s="259">
        <f>Лист2!T54</f>
        <v>4.6889279999999998</v>
      </c>
      <c r="W7" s="259">
        <f>Лист2!U54</f>
        <v>5.0362559999999998</v>
      </c>
      <c r="X7" s="260">
        <f>Лист2!V54</f>
        <v>5.730912</v>
      </c>
    </row>
    <row r="8" spans="1:24" ht="18.75" customHeight="1">
      <c r="A8" s="351"/>
      <c r="B8" s="357"/>
      <c r="C8" s="24">
        <v>3</v>
      </c>
      <c r="D8" s="56">
        <v>15.2</v>
      </c>
      <c r="E8" s="33">
        <f>D8/D7*E7</f>
        <v>6.84</v>
      </c>
      <c r="F8" s="34">
        <f>E8/E7*F7</f>
        <v>7.3871999999999991</v>
      </c>
      <c r="G8" s="65">
        <f t="shared" ref="G8:X8" si="0">F8/F7*G7</f>
        <v>7.9344000000000001</v>
      </c>
      <c r="H8" s="257">
        <f>G8/G7*H7</f>
        <v>9.0288000000000004</v>
      </c>
      <c r="I8" s="233">
        <f>H8/H7*I7</f>
        <v>5.8823999999999987</v>
      </c>
      <c r="J8" s="231">
        <f t="shared" si="0"/>
        <v>6.3529919999999995</v>
      </c>
      <c r="K8" s="231">
        <f t="shared" si="0"/>
        <v>6.8235839999999994</v>
      </c>
      <c r="L8" s="234">
        <f t="shared" si="0"/>
        <v>7.7647679999999992</v>
      </c>
      <c r="M8" s="230">
        <f t="shared" si="0"/>
        <v>5.5403999999999991</v>
      </c>
      <c r="N8" s="231">
        <f t="shared" si="0"/>
        <v>5.9836319999999992</v>
      </c>
      <c r="O8" s="231">
        <f t="shared" si="0"/>
        <v>6.4268639999999992</v>
      </c>
      <c r="P8" s="232">
        <f t="shared" si="0"/>
        <v>7.3133279999999985</v>
      </c>
      <c r="Q8" s="233">
        <f t="shared" si="0"/>
        <v>4.7879999999999994</v>
      </c>
      <c r="R8" s="231">
        <f t="shared" si="0"/>
        <v>5.1710399999999996</v>
      </c>
      <c r="S8" s="231">
        <f t="shared" si="0"/>
        <v>5.5540799999999999</v>
      </c>
      <c r="T8" s="234">
        <f t="shared" si="0"/>
        <v>6.3201600000000004</v>
      </c>
      <c r="U8" s="230">
        <f t="shared" si="0"/>
        <v>4.5827999999999998</v>
      </c>
      <c r="V8" s="231">
        <f t="shared" si="0"/>
        <v>4.9494239999999996</v>
      </c>
      <c r="W8" s="231">
        <f t="shared" si="0"/>
        <v>5.3160480000000003</v>
      </c>
      <c r="X8" s="232">
        <f t="shared" si="0"/>
        <v>6.049296</v>
      </c>
    </row>
    <row r="9" spans="1:24" ht="18.75" customHeight="1" thickBot="1">
      <c r="A9" s="351"/>
      <c r="B9" s="358"/>
      <c r="C9" s="24">
        <v>4</v>
      </c>
      <c r="D9" s="56">
        <v>15.5</v>
      </c>
      <c r="E9" s="261">
        <f>D9/D7*E7</f>
        <v>6.9749999999999988</v>
      </c>
      <c r="F9" s="262">
        <f t="shared" ref="F9:X9" si="1">E9/E7*F7</f>
        <v>7.5329999999999986</v>
      </c>
      <c r="G9" s="263">
        <f t="shared" si="1"/>
        <v>8.0909999999999993</v>
      </c>
      <c r="H9" s="264">
        <f t="shared" si="1"/>
        <v>9.206999999999999</v>
      </c>
      <c r="I9" s="265">
        <f t="shared" si="1"/>
        <v>5.9984999999999991</v>
      </c>
      <c r="J9" s="266">
        <f t="shared" si="1"/>
        <v>6.4783799999999987</v>
      </c>
      <c r="K9" s="266">
        <f t="shared" si="1"/>
        <v>6.9582599999999983</v>
      </c>
      <c r="L9" s="267">
        <f t="shared" si="1"/>
        <v>7.9180199999999985</v>
      </c>
      <c r="M9" s="268">
        <f t="shared" si="1"/>
        <v>5.6497499999999992</v>
      </c>
      <c r="N9" s="266">
        <f t="shared" si="1"/>
        <v>6.101729999999999</v>
      </c>
      <c r="O9" s="266">
        <f t="shared" si="1"/>
        <v>6.5537099999999988</v>
      </c>
      <c r="P9" s="269">
        <f t="shared" si="1"/>
        <v>7.4576699999999985</v>
      </c>
      <c r="Q9" s="265">
        <f t="shared" si="1"/>
        <v>4.8824999999999994</v>
      </c>
      <c r="R9" s="266">
        <f t="shared" si="1"/>
        <v>5.2730999999999986</v>
      </c>
      <c r="S9" s="266">
        <f t="shared" si="1"/>
        <v>5.6636999999999995</v>
      </c>
      <c r="T9" s="267">
        <f t="shared" si="1"/>
        <v>6.4448999999999996</v>
      </c>
      <c r="U9" s="268">
        <f t="shared" si="1"/>
        <v>4.6732499999999995</v>
      </c>
      <c r="V9" s="266">
        <f t="shared" si="1"/>
        <v>5.0471099999999991</v>
      </c>
      <c r="W9" s="266">
        <f t="shared" si="1"/>
        <v>5.4209699999999996</v>
      </c>
      <c r="X9" s="269">
        <f t="shared" si="1"/>
        <v>6.1686899999999998</v>
      </c>
    </row>
    <row r="10" spans="1:24" ht="18.75" customHeight="1">
      <c r="A10" s="351"/>
      <c r="B10" s="332">
        <v>120</v>
      </c>
      <c r="C10" s="26"/>
      <c r="D10" s="57">
        <v>16.7</v>
      </c>
      <c r="E10" s="39">
        <f>D10/D7*E7</f>
        <v>7.5149999999999988</v>
      </c>
      <c r="F10" s="40">
        <f t="shared" ref="F10:X10" si="2">E10/E7*F7</f>
        <v>8.1161999999999992</v>
      </c>
      <c r="G10" s="67">
        <f t="shared" si="2"/>
        <v>8.7174000000000014</v>
      </c>
      <c r="H10" s="284">
        <f t="shared" si="2"/>
        <v>9.9198000000000004</v>
      </c>
      <c r="I10" s="285">
        <f>H10/H7*I7</f>
        <v>6.4628999999999994</v>
      </c>
      <c r="J10" s="286">
        <f t="shared" si="2"/>
        <v>6.9799319999999998</v>
      </c>
      <c r="K10" s="286">
        <f t="shared" si="2"/>
        <v>7.4969639999999993</v>
      </c>
      <c r="L10" s="287">
        <f t="shared" si="2"/>
        <v>8.5310279999999992</v>
      </c>
      <c r="M10" s="240">
        <f t="shared" si="2"/>
        <v>6.0871499999999994</v>
      </c>
      <c r="N10" s="286">
        <f t="shared" si="2"/>
        <v>6.5741219999999991</v>
      </c>
      <c r="O10" s="286">
        <f t="shared" si="2"/>
        <v>7.0610939999999998</v>
      </c>
      <c r="P10" s="288">
        <f t="shared" si="2"/>
        <v>8.0350379999999983</v>
      </c>
      <c r="Q10" s="285">
        <f t="shared" si="2"/>
        <v>5.2605000000000004</v>
      </c>
      <c r="R10" s="286">
        <f t="shared" si="2"/>
        <v>5.6813399999999996</v>
      </c>
      <c r="S10" s="286">
        <f t="shared" si="2"/>
        <v>6.1021800000000006</v>
      </c>
      <c r="T10" s="287">
        <f t="shared" si="2"/>
        <v>6.9438600000000008</v>
      </c>
      <c r="U10" s="240">
        <f t="shared" si="2"/>
        <v>5.03505</v>
      </c>
      <c r="V10" s="286">
        <f t="shared" si="2"/>
        <v>5.4378539999999997</v>
      </c>
      <c r="W10" s="286">
        <f t="shared" si="2"/>
        <v>5.8406580000000003</v>
      </c>
      <c r="X10" s="288">
        <f t="shared" si="2"/>
        <v>6.6462660000000007</v>
      </c>
    </row>
    <row r="11" spans="1:24" ht="18.75" customHeight="1">
      <c r="A11" s="351"/>
      <c r="B11" s="338"/>
      <c r="C11" s="24">
        <v>3</v>
      </c>
      <c r="D11" s="56">
        <v>17.7</v>
      </c>
      <c r="E11" s="33">
        <f>D11*E10/D10</f>
        <v>7.964999999999999</v>
      </c>
      <c r="F11" s="34">
        <f>D11*F10/D10</f>
        <v>8.6021999999999998</v>
      </c>
      <c r="G11" s="65">
        <f>D11*G10/D10</f>
        <v>9.2394000000000016</v>
      </c>
      <c r="H11" s="257">
        <f>D11*H10/D10</f>
        <v>10.5138</v>
      </c>
      <c r="I11" s="233">
        <f>D11*I10/D10</f>
        <v>6.8498999999999999</v>
      </c>
      <c r="J11" s="231">
        <f>D11*J10/D10</f>
        <v>7.3978919999999997</v>
      </c>
      <c r="K11" s="231">
        <f>D11*K10/D10</f>
        <v>7.9458839999999986</v>
      </c>
      <c r="L11" s="234">
        <f>D11*L10/D10</f>
        <v>9.0418679999999991</v>
      </c>
      <c r="M11" s="230">
        <f>D11*M10/D10</f>
        <v>6.451649999999999</v>
      </c>
      <c r="N11" s="231">
        <f>D11*N10/D10</f>
        <v>6.9677819999999988</v>
      </c>
      <c r="O11" s="231">
        <f>D11*O10/D10</f>
        <v>7.4839140000000004</v>
      </c>
      <c r="P11" s="232">
        <f>D11*P10/D10</f>
        <v>8.5161779999999982</v>
      </c>
      <c r="Q11" s="233">
        <f>D11*Q10/D10</f>
        <v>5.5754999999999999</v>
      </c>
      <c r="R11" s="231">
        <f>D11*R10/D10</f>
        <v>6.0215399999999999</v>
      </c>
      <c r="S11" s="231">
        <f>D11*S10/D10</f>
        <v>6.4675800000000008</v>
      </c>
      <c r="T11" s="234">
        <f>D11*T10/D10</f>
        <v>7.3596600000000008</v>
      </c>
      <c r="U11" s="230">
        <f>D11*U10/D10</f>
        <v>5.3365499999999999</v>
      </c>
      <c r="V11" s="231">
        <f>D11*V10/D10</f>
        <v>5.7634739999999995</v>
      </c>
      <c r="W11" s="231">
        <f>D11*W10/D10</f>
        <v>6.1903980000000001</v>
      </c>
      <c r="X11" s="232">
        <f>D11*X10/D10</f>
        <v>7.0442460000000002</v>
      </c>
    </row>
    <row r="12" spans="1:24" ht="18.75" customHeight="1" thickBot="1">
      <c r="A12" s="351"/>
      <c r="B12" s="333"/>
      <c r="C12" s="24">
        <v>4</v>
      </c>
      <c r="D12" s="58">
        <v>18</v>
      </c>
      <c r="E12" s="289">
        <f>D12*E10/D10</f>
        <v>8.1</v>
      </c>
      <c r="F12" s="290">
        <f>D12*F10/D10</f>
        <v>8.7479999999999993</v>
      </c>
      <c r="G12" s="291">
        <f>D12*G10/D10</f>
        <v>9.3960000000000008</v>
      </c>
      <c r="H12" s="292">
        <f>D12*H10/D10</f>
        <v>10.692</v>
      </c>
      <c r="I12" s="293">
        <f>D12*I10/D10</f>
        <v>6.9659999999999993</v>
      </c>
      <c r="J12" s="294">
        <f>D12*J10/D10</f>
        <v>7.5232799999999997</v>
      </c>
      <c r="K12" s="294">
        <f>D12*K10/D10</f>
        <v>8.0805600000000002</v>
      </c>
      <c r="L12" s="295">
        <f>D12*L10/D10</f>
        <v>9.1951199999999993</v>
      </c>
      <c r="M12" s="296">
        <f>D12*M10/D10</f>
        <v>6.5609999999999999</v>
      </c>
      <c r="N12" s="294">
        <f>D12*N10/D10</f>
        <v>7.0858799999999995</v>
      </c>
      <c r="O12" s="294">
        <f>D12*O10/D10</f>
        <v>7.61076</v>
      </c>
      <c r="P12" s="297">
        <f>D12*P10/D10</f>
        <v>8.6605199999999982</v>
      </c>
      <c r="Q12" s="293">
        <f>D12*Q10/D10</f>
        <v>5.6700000000000008</v>
      </c>
      <c r="R12" s="294">
        <f>D12*R10/D10</f>
        <v>6.1235999999999997</v>
      </c>
      <c r="S12" s="294">
        <f>D12*S10/D10</f>
        <v>6.5772000000000013</v>
      </c>
      <c r="T12" s="295">
        <f>D12*T10/D10</f>
        <v>7.4844000000000008</v>
      </c>
      <c r="U12" s="296">
        <f>D12*U10/D10</f>
        <v>5.4269999999999996</v>
      </c>
      <c r="V12" s="294">
        <f>D12*V10/D10</f>
        <v>5.8611599999999999</v>
      </c>
      <c r="W12" s="294">
        <f>D12*W10/D10</f>
        <v>6.2953200000000002</v>
      </c>
      <c r="X12" s="297">
        <f>D12*X10/D10</f>
        <v>7.1636400000000009</v>
      </c>
    </row>
    <row r="13" spans="1:24" ht="18.75" customHeight="1" thickBot="1">
      <c r="A13" s="351"/>
      <c r="B13" s="54">
        <v>140</v>
      </c>
      <c r="C13" s="27"/>
      <c r="D13" s="59">
        <v>18.899999999999999</v>
      </c>
      <c r="E13" s="43">
        <f>D13/D10*E10</f>
        <v>8.5049999999999972</v>
      </c>
      <c r="F13" s="44">
        <f>E13/E10*F10</f>
        <v>9.185399999999996</v>
      </c>
      <c r="G13" s="68">
        <f>F13/F10*G10</f>
        <v>9.8657999999999983</v>
      </c>
      <c r="H13" s="270">
        <f>G13/G10*H10</f>
        <v>11.226599999999998</v>
      </c>
      <c r="I13" s="271">
        <f t="shared" ref="I13:X13" si="3">H13/H10*I10</f>
        <v>7.3142999999999976</v>
      </c>
      <c r="J13" s="272">
        <f t="shared" si="3"/>
        <v>7.8994439999999981</v>
      </c>
      <c r="K13" s="272">
        <f t="shared" si="3"/>
        <v>8.4845879999999969</v>
      </c>
      <c r="L13" s="273">
        <f t="shared" si="3"/>
        <v>9.6548759999999962</v>
      </c>
      <c r="M13" s="241">
        <f t="shared" si="3"/>
        <v>6.8890499999999975</v>
      </c>
      <c r="N13" s="272">
        <f t="shared" si="3"/>
        <v>7.4401739999999972</v>
      </c>
      <c r="O13" s="272">
        <f t="shared" si="3"/>
        <v>7.9912979999999978</v>
      </c>
      <c r="P13" s="274">
        <f t="shared" si="3"/>
        <v>9.0935459999999964</v>
      </c>
      <c r="Q13" s="271">
        <f t="shared" si="3"/>
        <v>5.9534999999999991</v>
      </c>
      <c r="R13" s="272">
        <f t="shared" si="3"/>
        <v>6.4297799999999983</v>
      </c>
      <c r="S13" s="272">
        <f t="shared" si="3"/>
        <v>6.9060599999999992</v>
      </c>
      <c r="T13" s="273">
        <f t="shared" si="3"/>
        <v>7.8586199999999993</v>
      </c>
      <c r="U13" s="241">
        <f t="shared" si="3"/>
        <v>5.6983499999999987</v>
      </c>
      <c r="V13" s="272">
        <f t="shared" si="3"/>
        <v>6.1542179999999984</v>
      </c>
      <c r="W13" s="272">
        <f t="shared" si="3"/>
        <v>6.610085999999999</v>
      </c>
      <c r="X13" s="274">
        <f t="shared" si="3"/>
        <v>7.5218219999999985</v>
      </c>
    </row>
    <row r="14" spans="1:24" ht="18.75" customHeight="1" thickBot="1">
      <c r="A14" s="351"/>
      <c r="B14" s="21">
        <v>160</v>
      </c>
      <c r="C14" s="27"/>
      <c r="D14" s="59">
        <v>21.2</v>
      </c>
      <c r="E14" s="45">
        <f>D14/D13*E13</f>
        <v>9.5399999999999956</v>
      </c>
      <c r="F14" s="46">
        <f>E14/E13*F13</f>
        <v>10.303199999999995</v>
      </c>
      <c r="G14" s="69">
        <f>F14/F13*G13</f>
        <v>11.066399999999998</v>
      </c>
      <c r="H14" s="298">
        <f t="shared" ref="H14" si="4">G14/G13*H13</f>
        <v>12.592799999999997</v>
      </c>
      <c r="I14" s="299">
        <f t="shared" ref="I14" si="5">H14/H13*I13</f>
        <v>8.2043999999999961</v>
      </c>
      <c r="J14" s="300">
        <f t="shared" ref="J14" si="6">I14/I13*J13</f>
        <v>8.860751999999998</v>
      </c>
      <c r="K14" s="300">
        <f t="shared" ref="K14" si="7">J14/J13*K13</f>
        <v>9.5171039999999962</v>
      </c>
      <c r="L14" s="301">
        <f t="shared" ref="L14" si="8">K14/K13*L13</f>
        <v>10.829807999999995</v>
      </c>
      <c r="M14" s="242">
        <f t="shared" ref="M14" si="9">L14/L13*M13</f>
        <v>7.7273999999999967</v>
      </c>
      <c r="N14" s="300">
        <f t="shared" ref="N14" si="10">M14/M13*N13</f>
        <v>8.3455919999999963</v>
      </c>
      <c r="O14" s="300">
        <f t="shared" ref="O14" si="11">N14/N13*O13</f>
        <v>8.9637839999999969</v>
      </c>
      <c r="P14" s="302">
        <f t="shared" ref="P14" si="12">O14/O13*P13</f>
        <v>10.200167999999996</v>
      </c>
      <c r="Q14" s="299">
        <f t="shared" ref="Q14" si="13">P14/P13*Q13</f>
        <v>6.677999999999999</v>
      </c>
      <c r="R14" s="300">
        <f t="shared" ref="R14" si="14">Q14/Q13*R13</f>
        <v>7.2122399999999978</v>
      </c>
      <c r="S14" s="300">
        <f t="shared" ref="S14" si="15">R14/R13*S13</f>
        <v>7.7464799999999983</v>
      </c>
      <c r="T14" s="301">
        <f t="shared" ref="T14" si="16">S14/S13*T13</f>
        <v>8.8149599999999992</v>
      </c>
      <c r="U14" s="242">
        <f t="shared" ref="U14" si="17">T14/T13*U13</f>
        <v>6.3917999999999981</v>
      </c>
      <c r="V14" s="300">
        <f t="shared" ref="V14" si="18">U14/U13*V13</f>
        <v>6.9031439999999975</v>
      </c>
      <c r="W14" s="300">
        <f t="shared" ref="W14" si="19">V14/V13*W13</f>
        <v>7.4144879999999986</v>
      </c>
      <c r="X14" s="302">
        <f t="shared" ref="X14" si="20">W14/W13*X13</f>
        <v>8.4371759999999973</v>
      </c>
    </row>
    <row r="15" spans="1:24" ht="18.75" customHeight="1">
      <c r="A15" s="350" t="s">
        <v>18</v>
      </c>
      <c r="B15" s="332">
        <v>100</v>
      </c>
      <c r="C15" s="26"/>
      <c r="D15" s="60">
        <f>'[1]Лист2 - Tаблица 1 - Tаблица 1'!F57</f>
        <v>16.3</v>
      </c>
      <c r="E15" s="275">
        <f>Лист2!C55</f>
        <v>7.3350000000000009</v>
      </c>
      <c r="F15" s="276">
        <f>Лист2!D55</f>
        <v>7.9218000000000011</v>
      </c>
      <c r="G15" s="277">
        <f>Лист2!E55</f>
        <v>8.5086000000000013</v>
      </c>
      <c r="H15" s="278">
        <f>Лист2!F55</f>
        <v>9.6822000000000017</v>
      </c>
      <c r="I15" s="279">
        <f>Лист2!G55</f>
        <v>6.3081000000000005</v>
      </c>
      <c r="J15" s="280">
        <f>Лист2!H55</f>
        <v>6.8127480000000009</v>
      </c>
      <c r="K15" s="280">
        <f>Лист2!I55</f>
        <v>7.3173960000000005</v>
      </c>
      <c r="L15" s="281">
        <f>Лист2!J55</f>
        <v>8.3266920000000013</v>
      </c>
      <c r="M15" s="282">
        <f>Лист2!K55</f>
        <v>5.9413500000000008</v>
      </c>
      <c r="N15" s="280">
        <f>Лист2!L55</f>
        <v>6.4166580000000009</v>
      </c>
      <c r="O15" s="280">
        <f>Лист2!M55</f>
        <v>6.8919660000000009</v>
      </c>
      <c r="P15" s="283">
        <f>Лист2!N55</f>
        <v>7.8425820000000011</v>
      </c>
      <c r="Q15" s="279">
        <f>Лист2!O55</f>
        <v>5.134500000000001</v>
      </c>
      <c r="R15" s="280">
        <f>Лист2!P55</f>
        <v>5.5452600000000007</v>
      </c>
      <c r="S15" s="280">
        <f>Лист2!Q55</f>
        <v>5.9560200000000014</v>
      </c>
      <c r="T15" s="281">
        <f>Лист2!R55</f>
        <v>6.777540000000001</v>
      </c>
      <c r="U15" s="282">
        <f>Лист2!S55</f>
        <v>4.9144500000000004</v>
      </c>
      <c r="V15" s="280">
        <f>Лист2!T55</f>
        <v>5.3076060000000007</v>
      </c>
      <c r="W15" s="280">
        <f>Лист2!U55</f>
        <v>5.700762000000001</v>
      </c>
      <c r="X15" s="283">
        <f>Лист2!V55</f>
        <v>6.4870740000000007</v>
      </c>
    </row>
    <row r="16" spans="1:24" ht="18.75" customHeight="1">
      <c r="A16" s="351"/>
      <c r="B16" s="338"/>
      <c r="C16" s="24">
        <v>3</v>
      </c>
      <c r="D16" s="56">
        <v>17.3</v>
      </c>
      <c r="E16" s="33">
        <f>D16/D15*E15</f>
        <v>7.7850000000000019</v>
      </c>
      <c r="F16" s="34">
        <f t="shared" ref="F16:W16" si="21">E16/E15*F15</f>
        <v>8.4078000000000017</v>
      </c>
      <c r="G16" s="65">
        <f t="shared" si="21"/>
        <v>9.0306000000000015</v>
      </c>
      <c r="H16" s="257">
        <f t="shared" si="21"/>
        <v>10.276200000000003</v>
      </c>
      <c r="I16" s="233">
        <f t="shared" si="21"/>
        <v>6.6951000000000009</v>
      </c>
      <c r="J16" s="231">
        <f t="shared" si="21"/>
        <v>7.2307080000000017</v>
      </c>
      <c r="K16" s="231">
        <f t="shared" si="21"/>
        <v>7.7663160000000016</v>
      </c>
      <c r="L16" s="234">
        <f t="shared" si="21"/>
        <v>8.8375320000000013</v>
      </c>
      <c r="M16" s="230">
        <f t="shared" si="21"/>
        <v>6.3058500000000013</v>
      </c>
      <c r="N16" s="231">
        <f t="shared" si="21"/>
        <v>6.8103180000000014</v>
      </c>
      <c r="O16" s="231">
        <f t="shared" si="21"/>
        <v>7.3147860000000016</v>
      </c>
      <c r="P16" s="232">
        <f t="shared" si="21"/>
        <v>8.3237220000000018</v>
      </c>
      <c r="Q16" s="233">
        <f t="shared" si="21"/>
        <v>5.4495000000000013</v>
      </c>
      <c r="R16" s="231">
        <f t="shared" si="21"/>
        <v>5.885460000000001</v>
      </c>
      <c r="S16" s="231">
        <f t="shared" si="21"/>
        <v>6.3214200000000025</v>
      </c>
      <c r="T16" s="234">
        <f t="shared" si="21"/>
        <v>7.1933400000000018</v>
      </c>
      <c r="U16" s="230">
        <f t="shared" si="21"/>
        <v>5.2159500000000012</v>
      </c>
      <c r="V16" s="231">
        <f>U16/U15*V15</f>
        <v>5.6332260000000014</v>
      </c>
      <c r="W16" s="231">
        <f t="shared" si="21"/>
        <v>6.0505020000000016</v>
      </c>
      <c r="X16" s="232">
        <f>W16/W15*X15</f>
        <v>6.8850540000000011</v>
      </c>
    </row>
    <row r="17" spans="1:24" ht="18.75" customHeight="1">
      <c r="A17" s="351"/>
      <c r="B17" s="338"/>
      <c r="C17" s="24">
        <v>4</v>
      </c>
      <c r="D17" s="56">
        <v>17.600000000000001</v>
      </c>
      <c r="E17" s="35">
        <f>D17/D15*E15</f>
        <v>7.9200000000000008</v>
      </c>
      <c r="F17" s="36">
        <f t="shared" ref="F17:X17" si="22">E17/E15*F15</f>
        <v>8.5536000000000012</v>
      </c>
      <c r="G17" s="66">
        <f t="shared" si="22"/>
        <v>9.1872000000000007</v>
      </c>
      <c r="H17" s="258">
        <f t="shared" si="22"/>
        <v>10.454400000000001</v>
      </c>
      <c r="I17" s="238">
        <f t="shared" si="22"/>
        <v>6.8112000000000004</v>
      </c>
      <c r="J17" s="236">
        <f t="shared" si="22"/>
        <v>7.3560960000000009</v>
      </c>
      <c r="K17" s="236">
        <f t="shared" si="22"/>
        <v>7.9009920000000005</v>
      </c>
      <c r="L17" s="239">
        <f t="shared" si="22"/>
        <v>8.9907840000000014</v>
      </c>
      <c r="M17" s="235">
        <f t="shared" si="22"/>
        <v>6.4152000000000005</v>
      </c>
      <c r="N17" s="236">
        <f t="shared" si="22"/>
        <v>6.9284160000000012</v>
      </c>
      <c r="O17" s="236">
        <f t="shared" si="22"/>
        <v>7.4416320000000011</v>
      </c>
      <c r="P17" s="237">
        <f t="shared" si="22"/>
        <v>8.4680640000000018</v>
      </c>
      <c r="Q17" s="238">
        <f t="shared" si="22"/>
        <v>5.5440000000000014</v>
      </c>
      <c r="R17" s="236">
        <f t="shared" si="22"/>
        <v>5.9875200000000008</v>
      </c>
      <c r="S17" s="236">
        <f t="shared" si="22"/>
        <v>6.4310400000000012</v>
      </c>
      <c r="T17" s="239">
        <f t="shared" si="22"/>
        <v>7.318080000000001</v>
      </c>
      <c r="U17" s="235">
        <f t="shared" si="22"/>
        <v>5.3064</v>
      </c>
      <c r="V17" s="236">
        <f t="shared" si="22"/>
        <v>5.7309120000000009</v>
      </c>
      <c r="W17" s="236">
        <f t="shared" si="22"/>
        <v>6.1554240000000009</v>
      </c>
      <c r="X17" s="237">
        <f t="shared" si="22"/>
        <v>7.0044480000000009</v>
      </c>
    </row>
    <row r="18" spans="1:24" ht="18.75" customHeight="1" thickBot="1">
      <c r="A18" s="351"/>
      <c r="B18" s="333"/>
      <c r="C18" s="25">
        <v>5</v>
      </c>
      <c r="D18" s="61">
        <v>17.899999999999999</v>
      </c>
      <c r="E18" s="37">
        <f>D18/D15*E15</f>
        <v>8.0549999999999997</v>
      </c>
      <c r="F18" s="38">
        <f>E18/E15*F15</f>
        <v>8.6994000000000007</v>
      </c>
      <c r="G18" s="72">
        <f t="shared" ref="G18:X18" si="23">F18/F15*G15</f>
        <v>9.3437999999999999</v>
      </c>
      <c r="H18" s="303">
        <f t="shared" si="23"/>
        <v>10.6326</v>
      </c>
      <c r="I18" s="252">
        <f t="shared" si="23"/>
        <v>6.9272999999999998</v>
      </c>
      <c r="J18" s="250">
        <f t="shared" si="23"/>
        <v>7.481484</v>
      </c>
      <c r="K18" s="250">
        <f t="shared" si="23"/>
        <v>8.0356679999999994</v>
      </c>
      <c r="L18" s="253">
        <f t="shared" si="23"/>
        <v>9.1440359999999998</v>
      </c>
      <c r="M18" s="249">
        <f t="shared" si="23"/>
        <v>6.5245500000000005</v>
      </c>
      <c r="N18" s="250">
        <f t="shared" si="23"/>
        <v>7.0465140000000002</v>
      </c>
      <c r="O18" s="250">
        <f t="shared" si="23"/>
        <v>7.5684779999999998</v>
      </c>
      <c r="P18" s="251">
        <f t="shared" si="23"/>
        <v>8.612406</v>
      </c>
      <c r="Q18" s="252">
        <f t="shared" si="23"/>
        <v>5.6385000000000005</v>
      </c>
      <c r="R18" s="250">
        <f t="shared" si="23"/>
        <v>6.0895799999999998</v>
      </c>
      <c r="S18" s="250">
        <f t="shared" si="23"/>
        <v>6.5406600000000008</v>
      </c>
      <c r="T18" s="253">
        <f t="shared" si="23"/>
        <v>7.4428200000000002</v>
      </c>
      <c r="U18" s="249">
        <f t="shared" si="23"/>
        <v>5.3968499999999997</v>
      </c>
      <c r="V18" s="250">
        <f t="shared" si="23"/>
        <v>5.8285980000000004</v>
      </c>
      <c r="W18" s="250">
        <f t="shared" si="23"/>
        <v>6.2603460000000002</v>
      </c>
      <c r="X18" s="251">
        <f t="shared" si="23"/>
        <v>7.1238419999999998</v>
      </c>
    </row>
    <row r="19" spans="1:24" ht="18.75" customHeight="1">
      <c r="A19" s="351"/>
      <c r="B19" s="359">
        <v>120</v>
      </c>
      <c r="C19" s="26"/>
      <c r="D19" s="57">
        <v>18.899999999999999</v>
      </c>
      <c r="E19" s="39">
        <f>D19/D15*E15</f>
        <v>8.5050000000000008</v>
      </c>
      <c r="F19" s="40">
        <f t="shared" ref="F19:G19" si="24">E19/E15*F15</f>
        <v>9.1854000000000013</v>
      </c>
      <c r="G19" s="67">
        <f t="shared" si="24"/>
        <v>9.8658000000000019</v>
      </c>
      <c r="H19" s="284">
        <f>G19/G15*H15</f>
        <v>11.226600000000001</v>
      </c>
      <c r="I19" s="285">
        <f t="shared" ref="I19:X19" si="25">H19/H15*I15</f>
        <v>7.3143000000000002</v>
      </c>
      <c r="J19" s="286">
        <f t="shared" si="25"/>
        <v>7.8994440000000008</v>
      </c>
      <c r="K19" s="286">
        <f t="shared" si="25"/>
        <v>8.4845880000000005</v>
      </c>
      <c r="L19" s="287">
        <f t="shared" si="25"/>
        <v>9.6548760000000016</v>
      </c>
      <c r="M19" s="240">
        <f t="shared" si="25"/>
        <v>6.889050000000001</v>
      </c>
      <c r="N19" s="286">
        <f t="shared" si="25"/>
        <v>7.4401740000000007</v>
      </c>
      <c r="O19" s="286">
        <f t="shared" si="25"/>
        <v>7.9912980000000005</v>
      </c>
      <c r="P19" s="288">
        <f t="shared" si="25"/>
        <v>9.0935460000000017</v>
      </c>
      <c r="Q19" s="285">
        <f t="shared" si="25"/>
        <v>5.9535000000000009</v>
      </c>
      <c r="R19" s="286">
        <f t="shared" si="25"/>
        <v>6.4297800000000009</v>
      </c>
      <c r="S19" s="286">
        <f t="shared" si="25"/>
        <v>6.9060600000000019</v>
      </c>
      <c r="T19" s="287">
        <f t="shared" si="25"/>
        <v>7.858620000000001</v>
      </c>
      <c r="U19" s="240">
        <f t="shared" si="25"/>
        <v>5.6983500000000005</v>
      </c>
      <c r="V19" s="286">
        <f t="shared" si="25"/>
        <v>6.1542180000000011</v>
      </c>
      <c r="W19" s="286">
        <f t="shared" si="25"/>
        <v>6.6100860000000008</v>
      </c>
      <c r="X19" s="288">
        <f t="shared" si="25"/>
        <v>7.5218220000000002</v>
      </c>
    </row>
    <row r="20" spans="1:24" ht="18.75" customHeight="1">
      <c r="A20" s="351"/>
      <c r="B20" s="360"/>
      <c r="C20" s="24">
        <v>3</v>
      </c>
      <c r="D20" s="56">
        <v>20.100000000000001</v>
      </c>
      <c r="E20" s="33">
        <f>D20/D15*E15</f>
        <v>9.0450000000000017</v>
      </c>
      <c r="F20" s="34">
        <f t="shared" ref="F20:X20" si="26">E20/E15*F15</f>
        <v>9.7686000000000011</v>
      </c>
      <c r="G20" s="65">
        <f>F20/F15*G15</f>
        <v>10.492200000000002</v>
      </c>
      <c r="H20" s="257">
        <f t="shared" si="26"/>
        <v>11.939400000000003</v>
      </c>
      <c r="I20" s="233">
        <f t="shared" si="26"/>
        <v>7.7787000000000006</v>
      </c>
      <c r="J20" s="231">
        <f t="shared" si="26"/>
        <v>8.400996000000001</v>
      </c>
      <c r="K20" s="231">
        <f t="shared" si="26"/>
        <v>9.0232919999999996</v>
      </c>
      <c r="L20" s="234">
        <f t="shared" si="26"/>
        <v>10.267884</v>
      </c>
      <c r="M20" s="230">
        <f t="shared" si="26"/>
        <v>7.3264499999999995</v>
      </c>
      <c r="N20" s="231">
        <f t="shared" si="26"/>
        <v>7.912566</v>
      </c>
      <c r="O20" s="231">
        <f t="shared" si="26"/>
        <v>8.4986819999999987</v>
      </c>
      <c r="P20" s="232">
        <f t="shared" si="26"/>
        <v>9.670913999999998</v>
      </c>
      <c r="Q20" s="233">
        <f t="shared" si="26"/>
        <v>6.3314999999999992</v>
      </c>
      <c r="R20" s="231">
        <f t="shared" si="26"/>
        <v>6.8380199999999984</v>
      </c>
      <c r="S20" s="231">
        <f t="shared" si="26"/>
        <v>7.3445399999999994</v>
      </c>
      <c r="T20" s="234">
        <f t="shared" si="26"/>
        <v>8.3575799999999987</v>
      </c>
      <c r="U20" s="230">
        <f t="shared" si="26"/>
        <v>6.0601499999999984</v>
      </c>
      <c r="V20" s="231">
        <f t="shared" si="26"/>
        <v>6.5449619999999982</v>
      </c>
      <c r="W20" s="231">
        <f t="shared" si="26"/>
        <v>7.0297739999999989</v>
      </c>
      <c r="X20" s="232">
        <f t="shared" si="26"/>
        <v>7.9993979999999976</v>
      </c>
    </row>
    <row r="21" spans="1:24" ht="18.75" customHeight="1">
      <c r="A21" s="351"/>
      <c r="B21" s="360"/>
      <c r="C21" s="24">
        <v>4</v>
      </c>
      <c r="D21" s="56">
        <v>20.5</v>
      </c>
      <c r="E21" s="35">
        <f>D21/D15*E15</f>
        <v>9.2249999999999996</v>
      </c>
      <c r="F21" s="36">
        <f t="shared" ref="F21:X21" si="27">E21/E15*F15</f>
        <v>9.963000000000001</v>
      </c>
      <c r="G21" s="66">
        <f t="shared" si="27"/>
        <v>10.701000000000001</v>
      </c>
      <c r="H21" s="258">
        <f t="shared" si="27"/>
        <v>12.177000000000001</v>
      </c>
      <c r="I21" s="238">
        <f t="shared" si="27"/>
        <v>7.9334999999999996</v>
      </c>
      <c r="J21" s="236">
        <f t="shared" si="27"/>
        <v>8.5681799999999999</v>
      </c>
      <c r="K21" s="236">
        <f t="shared" si="27"/>
        <v>9.2028599999999994</v>
      </c>
      <c r="L21" s="239">
        <f t="shared" si="27"/>
        <v>10.47222</v>
      </c>
      <c r="M21" s="235">
        <f t="shared" si="27"/>
        <v>7.4722499999999998</v>
      </c>
      <c r="N21" s="236">
        <f t="shared" si="27"/>
        <v>8.0700300000000009</v>
      </c>
      <c r="O21" s="236">
        <f t="shared" si="27"/>
        <v>8.6678100000000011</v>
      </c>
      <c r="P21" s="237">
        <f t="shared" si="27"/>
        <v>9.8633700000000015</v>
      </c>
      <c r="Q21" s="238">
        <f t="shared" si="27"/>
        <v>6.4575000000000014</v>
      </c>
      <c r="R21" s="236">
        <f t="shared" si="27"/>
        <v>6.9741000000000017</v>
      </c>
      <c r="S21" s="236">
        <f t="shared" si="27"/>
        <v>7.4907000000000021</v>
      </c>
      <c r="T21" s="239">
        <f t="shared" si="27"/>
        <v>8.5239000000000011</v>
      </c>
      <c r="U21" s="235">
        <f t="shared" si="27"/>
        <v>6.1807500000000006</v>
      </c>
      <c r="V21" s="236">
        <f t="shared" si="27"/>
        <v>6.6752100000000016</v>
      </c>
      <c r="W21" s="236">
        <f t="shared" si="27"/>
        <v>7.1696700000000018</v>
      </c>
      <c r="X21" s="237">
        <f t="shared" si="27"/>
        <v>8.158590000000002</v>
      </c>
    </row>
    <row r="22" spans="1:24" ht="18.75" customHeight="1" thickBot="1">
      <c r="A22" s="351"/>
      <c r="B22" s="361"/>
      <c r="C22" s="25">
        <v>5</v>
      </c>
      <c r="D22" s="61">
        <v>20.9</v>
      </c>
      <c r="E22" s="41">
        <f>D22/D15*E15</f>
        <v>9.4050000000000011</v>
      </c>
      <c r="F22" s="42">
        <f t="shared" ref="F22:X22" si="28">E22/E15*F15</f>
        <v>10.157400000000001</v>
      </c>
      <c r="G22" s="70">
        <f t="shared" si="28"/>
        <v>10.909800000000001</v>
      </c>
      <c r="H22" s="309">
        <f>G22/G15*H15</f>
        <v>12.414600000000002</v>
      </c>
      <c r="I22" s="246">
        <f t="shared" si="28"/>
        <v>8.0883000000000003</v>
      </c>
      <c r="J22" s="244">
        <f t="shared" si="28"/>
        <v>8.7353640000000006</v>
      </c>
      <c r="K22" s="244">
        <f t="shared" si="28"/>
        <v>9.3824280000000009</v>
      </c>
      <c r="L22" s="247">
        <f t="shared" si="28"/>
        <v>10.676556000000003</v>
      </c>
      <c r="M22" s="243">
        <f t="shared" si="28"/>
        <v>7.618050000000002</v>
      </c>
      <c r="N22" s="244">
        <f t="shared" si="28"/>
        <v>8.2274940000000019</v>
      </c>
      <c r="O22" s="244">
        <f t="shared" si="28"/>
        <v>8.8369380000000017</v>
      </c>
      <c r="P22" s="245">
        <f t="shared" si="28"/>
        <v>10.055826000000003</v>
      </c>
      <c r="Q22" s="246">
        <f t="shared" si="28"/>
        <v>6.5835000000000017</v>
      </c>
      <c r="R22" s="244">
        <f t="shared" si="28"/>
        <v>7.1101800000000015</v>
      </c>
      <c r="S22" s="244">
        <f t="shared" si="28"/>
        <v>7.6368600000000031</v>
      </c>
      <c r="T22" s="247">
        <f t="shared" si="28"/>
        <v>8.6902200000000018</v>
      </c>
      <c r="U22" s="243">
        <f t="shared" si="28"/>
        <v>6.3013500000000011</v>
      </c>
      <c r="V22" s="244">
        <f t="shared" si="28"/>
        <v>6.8054580000000016</v>
      </c>
      <c r="W22" s="244">
        <f t="shared" si="28"/>
        <v>7.309566000000002</v>
      </c>
      <c r="X22" s="245">
        <f t="shared" si="28"/>
        <v>8.3177820000000011</v>
      </c>
    </row>
    <row r="23" spans="1:24" ht="18.75" customHeight="1" thickBot="1">
      <c r="A23" s="351"/>
      <c r="B23" s="20">
        <v>140</v>
      </c>
      <c r="C23" s="27"/>
      <c r="D23" s="59">
        <v>21.6</v>
      </c>
      <c r="E23" s="43">
        <f>D23/D19*E19</f>
        <v>9.7200000000000024</v>
      </c>
      <c r="F23" s="44">
        <f t="shared" ref="F23:G23" si="29">E23/E19*F19</f>
        <v>10.497600000000004</v>
      </c>
      <c r="G23" s="68">
        <f t="shared" si="29"/>
        <v>11.275200000000003</v>
      </c>
      <c r="H23" s="270">
        <f>G23/G19*H19</f>
        <v>12.830400000000003</v>
      </c>
      <c r="I23" s="271">
        <f t="shared" ref="I23:X23" si="30">H23/H19*I19</f>
        <v>8.3592000000000013</v>
      </c>
      <c r="J23" s="272">
        <f t="shared" si="30"/>
        <v>9.0279360000000022</v>
      </c>
      <c r="K23" s="272">
        <f t="shared" si="30"/>
        <v>9.6966720000000013</v>
      </c>
      <c r="L23" s="273">
        <f t="shared" si="30"/>
        <v>11.034144000000003</v>
      </c>
      <c r="M23" s="241">
        <f t="shared" si="30"/>
        <v>7.8732000000000024</v>
      </c>
      <c r="N23" s="272">
        <f t="shared" si="30"/>
        <v>8.5030560000000026</v>
      </c>
      <c r="O23" s="272">
        <f t="shared" si="30"/>
        <v>9.132912000000001</v>
      </c>
      <c r="P23" s="274">
        <f t="shared" si="30"/>
        <v>10.392624000000003</v>
      </c>
      <c r="Q23" s="271">
        <f t="shared" si="30"/>
        <v>6.804000000000002</v>
      </c>
      <c r="R23" s="272">
        <f t="shared" si="30"/>
        <v>7.348320000000002</v>
      </c>
      <c r="S23" s="272">
        <f t="shared" si="30"/>
        <v>7.8926400000000037</v>
      </c>
      <c r="T23" s="273">
        <f t="shared" si="30"/>
        <v>8.9812800000000017</v>
      </c>
      <c r="U23" s="241">
        <f t="shared" si="30"/>
        <v>6.5124000000000013</v>
      </c>
      <c r="V23" s="272">
        <f t="shared" si="30"/>
        <v>7.0333920000000019</v>
      </c>
      <c r="W23" s="272">
        <f t="shared" si="30"/>
        <v>7.5543840000000015</v>
      </c>
      <c r="X23" s="274">
        <f t="shared" si="30"/>
        <v>8.5963680000000018</v>
      </c>
    </row>
    <row r="24" spans="1:24" ht="18.75" customHeight="1" thickBot="1">
      <c r="A24" s="352"/>
      <c r="B24" s="20">
        <v>160</v>
      </c>
      <c r="C24" s="28"/>
      <c r="D24" s="62">
        <v>24.3</v>
      </c>
      <c r="E24" s="45">
        <f>D24/D23*E23</f>
        <v>10.935000000000002</v>
      </c>
      <c r="F24" s="46">
        <f t="shared" ref="F24:G24" si="31">E24/E23*F23</f>
        <v>11.809800000000005</v>
      </c>
      <c r="G24" s="69">
        <f t="shared" si="31"/>
        <v>12.684600000000003</v>
      </c>
      <c r="H24" s="298">
        <f>G24/G23*H23</f>
        <v>14.434200000000002</v>
      </c>
      <c r="I24" s="299">
        <f t="shared" ref="I24:X24" si="32">H24/H23*I23</f>
        <v>9.4041000000000015</v>
      </c>
      <c r="J24" s="300">
        <f t="shared" si="32"/>
        <v>10.156428000000002</v>
      </c>
      <c r="K24" s="300">
        <f t="shared" si="32"/>
        <v>10.908756000000002</v>
      </c>
      <c r="L24" s="301">
        <f t="shared" si="32"/>
        <v>12.413412000000003</v>
      </c>
      <c r="M24" s="242">
        <f t="shared" si="32"/>
        <v>8.8573500000000021</v>
      </c>
      <c r="N24" s="300">
        <f t="shared" si="32"/>
        <v>9.5659380000000027</v>
      </c>
      <c r="O24" s="300">
        <f t="shared" si="32"/>
        <v>10.274526000000002</v>
      </c>
      <c r="P24" s="302">
        <f t="shared" si="32"/>
        <v>11.691702000000003</v>
      </c>
      <c r="Q24" s="299">
        <f t="shared" si="32"/>
        <v>7.6545000000000023</v>
      </c>
      <c r="R24" s="300">
        <f t="shared" si="32"/>
        <v>8.266860000000003</v>
      </c>
      <c r="S24" s="300">
        <f t="shared" si="32"/>
        <v>8.8792200000000037</v>
      </c>
      <c r="T24" s="301">
        <f t="shared" si="32"/>
        <v>10.103940000000001</v>
      </c>
      <c r="U24" s="242">
        <f t="shared" si="32"/>
        <v>7.3264500000000012</v>
      </c>
      <c r="V24" s="300">
        <f t="shared" si="32"/>
        <v>7.9125660000000018</v>
      </c>
      <c r="W24" s="300">
        <f t="shared" si="32"/>
        <v>8.4986820000000023</v>
      </c>
      <c r="X24" s="302">
        <f t="shared" si="32"/>
        <v>9.6709140000000016</v>
      </c>
    </row>
    <row r="25" spans="1:24" ht="18.75" customHeight="1">
      <c r="A25" s="350" t="s">
        <v>19</v>
      </c>
      <c r="B25" s="332">
        <v>100</v>
      </c>
      <c r="C25" s="26"/>
      <c r="D25" s="60">
        <f>'[1]Лист2 - Tаблица 1 - Tаблица 1'!H57</f>
        <v>22</v>
      </c>
      <c r="E25" s="275">
        <f>Лист2!C56</f>
        <v>9.8999999999999986</v>
      </c>
      <c r="F25" s="276">
        <f>Лист2!D56</f>
        <v>10.691999999999998</v>
      </c>
      <c r="G25" s="277">
        <f>Лист2!E56</f>
        <v>11.483999999999998</v>
      </c>
      <c r="H25" s="278">
        <f>Лист2!F56</f>
        <v>13.067999999999998</v>
      </c>
      <c r="I25" s="279">
        <f>Лист2!G56</f>
        <v>8.5139999999999993</v>
      </c>
      <c r="J25" s="280">
        <f>Лист2!H56</f>
        <v>9.1951199999999993</v>
      </c>
      <c r="K25" s="280">
        <f>Лист2!I56</f>
        <v>9.8762399999999992</v>
      </c>
      <c r="L25" s="281">
        <f>Лист2!J56</f>
        <v>11.238479999999999</v>
      </c>
      <c r="M25" s="282">
        <f>Лист2!K56</f>
        <v>8.0189999999999984</v>
      </c>
      <c r="N25" s="280">
        <f>Лист2!L56</f>
        <v>8.6605199999999982</v>
      </c>
      <c r="O25" s="280">
        <f>Лист2!M56</f>
        <v>9.3020399999999981</v>
      </c>
      <c r="P25" s="283">
        <f>Лист2!N56</f>
        <v>10.585079999999998</v>
      </c>
      <c r="Q25" s="279">
        <f>Лист2!O56</f>
        <v>6.9299999999999988</v>
      </c>
      <c r="R25" s="280">
        <f>Лист2!P56</f>
        <v>7.4843999999999991</v>
      </c>
      <c r="S25" s="280">
        <f>Лист2!Q56</f>
        <v>8.0387999999999984</v>
      </c>
      <c r="T25" s="281">
        <f>Лист2!R56</f>
        <v>9.1475999999999988</v>
      </c>
      <c r="U25" s="282">
        <f>Лист2!S56</f>
        <v>6.6329999999999991</v>
      </c>
      <c r="V25" s="280">
        <f>Лист2!T56</f>
        <v>7.1636399999999991</v>
      </c>
      <c r="W25" s="280">
        <f>Лист2!U56</f>
        <v>7.6942799999999991</v>
      </c>
      <c r="X25" s="283">
        <f>Лист2!V56</f>
        <v>8.7555599999999991</v>
      </c>
    </row>
    <row r="26" spans="1:24" ht="18.75" customHeight="1">
      <c r="A26" s="351"/>
      <c r="B26" s="338"/>
      <c r="C26" s="24">
        <v>3</v>
      </c>
      <c r="D26" s="56">
        <v>23.1</v>
      </c>
      <c r="E26" s="33">
        <f>D26/D25*E25</f>
        <v>10.395</v>
      </c>
      <c r="F26" s="34">
        <f t="shared" ref="F26:X26" si="33">E26/E25*F25</f>
        <v>11.226599999999999</v>
      </c>
      <c r="G26" s="65">
        <f t="shared" si="33"/>
        <v>12.058199999999999</v>
      </c>
      <c r="H26" s="257">
        <f>G26/G25*H25</f>
        <v>13.721399999999999</v>
      </c>
      <c r="I26" s="233">
        <f t="shared" si="33"/>
        <v>8.9397000000000002</v>
      </c>
      <c r="J26" s="231">
        <f t="shared" si="33"/>
        <v>9.6548759999999998</v>
      </c>
      <c r="K26" s="231">
        <f t="shared" si="33"/>
        <v>10.370051999999999</v>
      </c>
      <c r="L26" s="234">
        <f t="shared" si="33"/>
        <v>11.800404</v>
      </c>
      <c r="M26" s="230">
        <f t="shared" si="33"/>
        <v>8.4199499999999983</v>
      </c>
      <c r="N26" s="231">
        <f t="shared" si="33"/>
        <v>9.0935459999999981</v>
      </c>
      <c r="O26" s="231">
        <f t="shared" si="33"/>
        <v>9.767141999999998</v>
      </c>
      <c r="P26" s="232">
        <f t="shared" si="33"/>
        <v>11.114333999999998</v>
      </c>
      <c r="Q26" s="233">
        <f t="shared" si="33"/>
        <v>7.2764999999999986</v>
      </c>
      <c r="R26" s="231">
        <f t="shared" si="33"/>
        <v>7.8586199999999993</v>
      </c>
      <c r="S26" s="231">
        <f t="shared" si="33"/>
        <v>8.4407399999999981</v>
      </c>
      <c r="T26" s="234">
        <f t="shared" si="33"/>
        <v>9.6049799999999994</v>
      </c>
      <c r="U26" s="230">
        <f t="shared" si="33"/>
        <v>6.9646499999999998</v>
      </c>
      <c r="V26" s="231">
        <f t="shared" si="33"/>
        <v>7.5218219999999993</v>
      </c>
      <c r="W26" s="231">
        <f t="shared" si="33"/>
        <v>8.0789939999999998</v>
      </c>
      <c r="X26" s="232">
        <f t="shared" si="33"/>
        <v>9.1933379999999989</v>
      </c>
    </row>
    <row r="27" spans="1:24" ht="18.75" customHeight="1">
      <c r="A27" s="351"/>
      <c r="B27" s="338"/>
      <c r="C27" s="24">
        <v>4</v>
      </c>
      <c r="D27" s="56">
        <v>23.5</v>
      </c>
      <c r="E27" s="35">
        <f>D27/D25*E25</f>
        <v>10.574999999999998</v>
      </c>
      <c r="F27" s="36">
        <f t="shared" ref="F27:X27" si="34">E27/E25*F25</f>
        <v>11.420999999999998</v>
      </c>
      <c r="G27" s="66">
        <f t="shared" si="34"/>
        <v>12.266999999999998</v>
      </c>
      <c r="H27" s="258">
        <f t="shared" si="34"/>
        <v>13.958999999999996</v>
      </c>
      <c r="I27" s="238">
        <f t="shared" si="34"/>
        <v>9.0944999999999983</v>
      </c>
      <c r="J27" s="236">
        <f t="shared" si="34"/>
        <v>9.8220599999999987</v>
      </c>
      <c r="K27" s="236">
        <f t="shared" si="34"/>
        <v>10.549619999999999</v>
      </c>
      <c r="L27" s="239">
        <f t="shared" si="34"/>
        <v>12.004739999999998</v>
      </c>
      <c r="M27" s="235">
        <f t="shared" si="34"/>
        <v>8.5657499999999978</v>
      </c>
      <c r="N27" s="236">
        <f t="shared" si="34"/>
        <v>9.2510099999999973</v>
      </c>
      <c r="O27" s="236">
        <f t="shared" si="34"/>
        <v>9.9362699999999968</v>
      </c>
      <c r="P27" s="237">
        <f t="shared" si="34"/>
        <v>11.306789999999998</v>
      </c>
      <c r="Q27" s="238">
        <f t="shared" si="34"/>
        <v>7.4024999999999981</v>
      </c>
      <c r="R27" s="236">
        <f t="shared" si="34"/>
        <v>7.9946999999999981</v>
      </c>
      <c r="S27" s="236">
        <f t="shared" si="34"/>
        <v>8.5868999999999982</v>
      </c>
      <c r="T27" s="239">
        <f t="shared" si="34"/>
        <v>9.7712999999999983</v>
      </c>
      <c r="U27" s="235">
        <f t="shared" si="34"/>
        <v>7.0852499999999985</v>
      </c>
      <c r="V27" s="236">
        <f t="shared" si="34"/>
        <v>7.6520699999999984</v>
      </c>
      <c r="W27" s="236">
        <f t="shared" si="34"/>
        <v>8.2188899999999983</v>
      </c>
      <c r="X27" s="237">
        <f t="shared" si="34"/>
        <v>9.352529999999998</v>
      </c>
    </row>
    <row r="28" spans="1:24" ht="18.75" customHeight="1" thickBot="1">
      <c r="A28" s="351"/>
      <c r="B28" s="333"/>
      <c r="C28" s="25">
        <v>5</v>
      </c>
      <c r="D28" s="61">
        <v>23.9</v>
      </c>
      <c r="E28" s="37">
        <f>D28/D25*E25</f>
        <v>10.754999999999997</v>
      </c>
      <c r="F28" s="38">
        <f t="shared" ref="F28:X28" si="35">E28/E25*F25</f>
        <v>11.615399999999996</v>
      </c>
      <c r="G28" s="72">
        <f t="shared" si="35"/>
        <v>12.475799999999996</v>
      </c>
      <c r="H28" s="303">
        <f>G28/G25*H25</f>
        <v>14.196599999999995</v>
      </c>
      <c r="I28" s="252">
        <f t="shared" si="35"/>
        <v>9.2492999999999981</v>
      </c>
      <c r="J28" s="250">
        <f t="shared" si="35"/>
        <v>9.9892439999999976</v>
      </c>
      <c r="K28" s="250">
        <f t="shared" si="35"/>
        <v>10.729187999999997</v>
      </c>
      <c r="L28" s="253">
        <f t="shared" si="35"/>
        <v>12.209075999999998</v>
      </c>
      <c r="M28" s="249">
        <f t="shared" si="35"/>
        <v>8.7115499999999972</v>
      </c>
      <c r="N28" s="250">
        <f t="shared" si="35"/>
        <v>9.4084739999999965</v>
      </c>
      <c r="O28" s="250">
        <f t="shared" si="35"/>
        <v>10.105397999999996</v>
      </c>
      <c r="P28" s="251">
        <f t="shared" si="35"/>
        <v>11.499245999999996</v>
      </c>
      <c r="Q28" s="252">
        <f t="shared" si="35"/>
        <v>7.5284999999999975</v>
      </c>
      <c r="R28" s="250">
        <f t="shared" si="35"/>
        <v>8.1307799999999979</v>
      </c>
      <c r="S28" s="250">
        <f t="shared" si="35"/>
        <v>8.7330599999999965</v>
      </c>
      <c r="T28" s="253">
        <f t="shared" si="35"/>
        <v>9.9376199999999972</v>
      </c>
      <c r="U28" s="249">
        <f t="shared" si="35"/>
        <v>7.2058499999999981</v>
      </c>
      <c r="V28" s="250">
        <f t="shared" si="35"/>
        <v>7.7823179999999983</v>
      </c>
      <c r="W28" s="250">
        <f t="shared" si="35"/>
        <v>8.3587859999999985</v>
      </c>
      <c r="X28" s="251">
        <f t="shared" si="35"/>
        <v>9.5117219999999971</v>
      </c>
    </row>
    <row r="29" spans="1:24" ht="18.75" customHeight="1">
      <c r="A29" s="351"/>
      <c r="B29" s="332">
        <v>120</v>
      </c>
      <c r="C29" s="26"/>
      <c r="D29" s="57">
        <v>25.8</v>
      </c>
      <c r="E29" s="39">
        <f>D29/D25*E25</f>
        <v>11.61</v>
      </c>
      <c r="F29" s="40">
        <f>E29/E25*F25</f>
        <v>12.5388</v>
      </c>
      <c r="G29" s="67">
        <f t="shared" ref="G29" si="36">F29/F25*G25</f>
        <v>13.467599999999999</v>
      </c>
      <c r="H29" s="284">
        <f>G29/G25*H25</f>
        <v>15.325199999999999</v>
      </c>
      <c r="I29" s="285">
        <f t="shared" ref="I29:X29" si="37">H29/H25*I25</f>
        <v>9.9846000000000004</v>
      </c>
      <c r="J29" s="286">
        <f t="shared" si="37"/>
        <v>10.783367999999999</v>
      </c>
      <c r="K29" s="286">
        <f t="shared" si="37"/>
        <v>11.582136</v>
      </c>
      <c r="L29" s="287">
        <f t="shared" si="37"/>
        <v>13.179672</v>
      </c>
      <c r="M29" s="240">
        <f t="shared" si="37"/>
        <v>9.4040999999999997</v>
      </c>
      <c r="N29" s="286">
        <f t="shared" si="37"/>
        <v>10.156427999999998</v>
      </c>
      <c r="O29" s="286">
        <f t="shared" si="37"/>
        <v>10.908755999999999</v>
      </c>
      <c r="P29" s="288">
        <f t="shared" si="37"/>
        <v>12.413411999999999</v>
      </c>
      <c r="Q29" s="285">
        <f t="shared" si="37"/>
        <v>8.1269999999999989</v>
      </c>
      <c r="R29" s="286">
        <f t="shared" si="37"/>
        <v>8.7771600000000003</v>
      </c>
      <c r="S29" s="286">
        <f t="shared" si="37"/>
        <v>9.4273199999999981</v>
      </c>
      <c r="T29" s="287">
        <f t="shared" si="37"/>
        <v>10.727639999999999</v>
      </c>
      <c r="U29" s="240">
        <f t="shared" si="37"/>
        <v>7.7786999999999997</v>
      </c>
      <c r="V29" s="286">
        <f t="shared" si="37"/>
        <v>8.4009959999999992</v>
      </c>
      <c r="W29" s="286">
        <f t="shared" si="37"/>
        <v>9.0232919999999996</v>
      </c>
      <c r="X29" s="288">
        <f t="shared" si="37"/>
        <v>10.267884</v>
      </c>
    </row>
    <row r="30" spans="1:24" ht="18.75" customHeight="1">
      <c r="A30" s="351"/>
      <c r="B30" s="338"/>
      <c r="C30" s="24">
        <v>3</v>
      </c>
      <c r="D30" s="56">
        <v>27.1</v>
      </c>
      <c r="E30" s="33">
        <f>D30/D25*E25</f>
        <v>12.194999999999999</v>
      </c>
      <c r="F30" s="34">
        <f t="shared" ref="F30:X30" si="38">E30/E25*F25</f>
        <v>13.170599999999999</v>
      </c>
      <c r="G30" s="65">
        <f t="shared" si="38"/>
        <v>14.146199999999999</v>
      </c>
      <c r="H30" s="257">
        <f>G30/G25*H25</f>
        <v>16.0974</v>
      </c>
      <c r="I30" s="233">
        <f t="shared" si="38"/>
        <v>10.487700000000002</v>
      </c>
      <c r="J30" s="231">
        <f t="shared" si="38"/>
        <v>11.326716000000003</v>
      </c>
      <c r="K30" s="231">
        <f t="shared" si="38"/>
        <v>12.165732000000002</v>
      </c>
      <c r="L30" s="234">
        <f t="shared" si="38"/>
        <v>13.843764000000002</v>
      </c>
      <c r="M30" s="230">
        <f t="shared" si="38"/>
        <v>9.8779500000000002</v>
      </c>
      <c r="N30" s="231">
        <f t="shared" si="38"/>
        <v>10.668186</v>
      </c>
      <c r="O30" s="231">
        <f t="shared" si="38"/>
        <v>11.458422000000001</v>
      </c>
      <c r="P30" s="232">
        <f t="shared" si="38"/>
        <v>13.038894000000001</v>
      </c>
      <c r="Q30" s="233">
        <f t="shared" si="38"/>
        <v>8.5365000000000002</v>
      </c>
      <c r="R30" s="231">
        <f t="shared" si="38"/>
        <v>9.2194200000000013</v>
      </c>
      <c r="S30" s="231">
        <f t="shared" si="38"/>
        <v>9.9023400000000006</v>
      </c>
      <c r="T30" s="234">
        <f t="shared" si="38"/>
        <v>11.268180000000001</v>
      </c>
      <c r="U30" s="230">
        <f t="shared" si="38"/>
        <v>8.170650000000002</v>
      </c>
      <c r="V30" s="231">
        <f t="shared" si="38"/>
        <v>8.824302000000003</v>
      </c>
      <c r="W30" s="231">
        <f t="shared" si="38"/>
        <v>9.477954000000004</v>
      </c>
      <c r="X30" s="232">
        <f t="shared" si="38"/>
        <v>10.785258000000004</v>
      </c>
    </row>
    <row r="31" spans="1:24" ht="18.75" customHeight="1">
      <c r="A31" s="351"/>
      <c r="B31" s="338"/>
      <c r="C31" s="24">
        <v>4</v>
      </c>
      <c r="D31" s="56">
        <v>27.6</v>
      </c>
      <c r="E31" s="35">
        <f>D31/D25*E25</f>
        <v>12.42</v>
      </c>
      <c r="F31" s="36">
        <f t="shared" ref="F31:X31" si="39">E31/E25*F25</f>
        <v>13.413599999999999</v>
      </c>
      <c r="G31" s="66">
        <f t="shared" si="39"/>
        <v>14.4072</v>
      </c>
      <c r="H31" s="258">
        <f t="shared" si="39"/>
        <v>16.394399999999997</v>
      </c>
      <c r="I31" s="238">
        <f t="shared" si="39"/>
        <v>10.6812</v>
      </c>
      <c r="J31" s="236">
        <f t="shared" si="39"/>
        <v>11.535696</v>
      </c>
      <c r="K31" s="236">
        <f t="shared" si="39"/>
        <v>12.390192000000001</v>
      </c>
      <c r="L31" s="239">
        <f t="shared" si="39"/>
        <v>14.099183999999999</v>
      </c>
      <c r="M31" s="235">
        <f t="shared" si="39"/>
        <v>10.060199999999998</v>
      </c>
      <c r="N31" s="236">
        <f t="shared" si="39"/>
        <v>10.865015999999999</v>
      </c>
      <c r="O31" s="236">
        <f t="shared" si="39"/>
        <v>11.669831999999998</v>
      </c>
      <c r="P31" s="237">
        <f t="shared" si="39"/>
        <v>13.279463999999999</v>
      </c>
      <c r="Q31" s="238">
        <f t="shared" si="39"/>
        <v>8.6939999999999991</v>
      </c>
      <c r="R31" s="236">
        <f t="shared" si="39"/>
        <v>9.3895199999999992</v>
      </c>
      <c r="S31" s="236">
        <f t="shared" si="39"/>
        <v>10.085039999999999</v>
      </c>
      <c r="T31" s="239">
        <f t="shared" si="39"/>
        <v>11.47608</v>
      </c>
      <c r="U31" s="235">
        <f t="shared" si="39"/>
        <v>8.3213999999999988</v>
      </c>
      <c r="V31" s="236">
        <f t="shared" si="39"/>
        <v>8.9871119999999998</v>
      </c>
      <c r="W31" s="236">
        <f t="shared" si="39"/>
        <v>9.652823999999999</v>
      </c>
      <c r="X31" s="237">
        <f t="shared" si="39"/>
        <v>10.984247999999999</v>
      </c>
    </row>
    <row r="32" spans="1:24" ht="18.75" customHeight="1" thickBot="1">
      <c r="A32" s="351"/>
      <c r="B32" s="333"/>
      <c r="C32" s="25">
        <v>5</v>
      </c>
      <c r="D32" s="61">
        <v>28.1</v>
      </c>
      <c r="E32" s="41">
        <f>D32/D25*E25</f>
        <v>12.645</v>
      </c>
      <c r="F32" s="42">
        <f t="shared" ref="F32:X32" si="40">E32/E25*F25</f>
        <v>13.656599999999999</v>
      </c>
      <c r="G32" s="70">
        <f t="shared" si="40"/>
        <v>14.668199999999999</v>
      </c>
      <c r="H32" s="309">
        <f t="shared" si="40"/>
        <v>16.691399999999998</v>
      </c>
      <c r="I32" s="246">
        <f t="shared" si="40"/>
        <v>10.874699999999999</v>
      </c>
      <c r="J32" s="244">
        <f t="shared" si="40"/>
        <v>11.744676</v>
      </c>
      <c r="K32" s="244">
        <f t="shared" si="40"/>
        <v>12.614652</v>
      </c>
      <c r="L32" s="247">
        <f t="shared" si="40"/>
        <v>14.354604</v>
      </c>
      <c r="M32" s="243">
        <f t="shared" si="40"/>
        <v>10.242449999999998</v>
      </c>
      <c r="N32" s="244">
        <f t="shared" si="40"/>
        <v>11.061845999999997</v>
      </c>
      <c r="O32" s="244">
        <f t="shared" si="40"/>
        <v>11.881241999999999</v>
      </c>
      <c r="P32" s="245">
        <f t="shared" si="40"/>
        <v>13.520033999999997</v>
      </c>
      <c r="Q32" s="246">
        <f t="shared" si="40"/>
        <v>8.8514999999999997</v>
      </c>
      <c r="R32" s="244">
        <f t="shared" si="40"/>
        <v>9.5596199999999989</v>
      </c>
      <c r="S32" s="244">
        <f t="shared" si="40"/>
        <v>10.267739999999998</v>
      </c>
      <c r="T32" s="247">
        <f t="shared" si="40"/>
        <v>11.683979999999998</v>
      </c>
      <c r="U32" s="243">
        <f t="shared" si="40"/>
        <v>8.4721499999999992</v>
      </c>
      <c r="V32" s="244">
        <f t="shared" si="40"/>
        <v>9.1499220000000001</v>
      </c>
      <c r="W32" s="244">
        <f t="shared" si="40"/>
        <v>9.8276939999999993</v>
      </c>
      <c r="X32" s="245">
        <f t="shared" si="40"/>
        <v>11.183237999999999</v>
      </c>
    </row>
    <row r="33" spans="1:24" ht="18.75" customHeight="1" thickBot="1">
      <c r="A33" s="351"/>
      <c r="B33" s="20">
        <v>140</v>
      </c>
      <c r="C33" s="29"/>
      <c r="D33" s="59">
        <v>29.6</v>
      </c>
      <c r="E33" s="43">
        <f>D33/D29*E29</f>
        <v>13.32</v>
      </c>
      <c r="F33" s="44">
        <f t="shared" ref="F33:G33" si="41">E33/E29*F29</f>
        <v>14.3856</v>
      </c>
      <c r="G33" s="68">
        <f t="shared" si="41"/>
        <v>15.4512</v>
      </c>
      <c r="H33" s="270">
        <f>G33/G29*H29</f>
        <v>17.5824</v>
      </c>
      <c r="I33" s="271">
        <f t="shared" ref="I33:X33" si="42">H33/H29*I29</f>
        <v>11.455200000000001</v>
      </c>
      <c r="J33" s="272">
        <f t="shared" si="42"/>
        <v>12.371616</v>
      </c>
      <c r="K33" s="272">
        <f t="shared" si="42"/>
        <v>13.288032000000001</v>
      </c>
      <c r="L33" s="273">
        <f t="shared" si="42"/>
        <v>15.120864000000001</v>
      </c>
      <c r="M33" s="241">
        <f t="shared" si="42"/>
        <v>10.789199999999999</v>
      </c>
      <c r="N33" s="272">
        <f t="shared" si="42"/>
        <v>11.652335999999998</v>
      </c>
      <c r="O33" s="272">
        <f t="shared" si="42"/>
        <v>12.515471999999999</v>
      </c>
      <c r="P33" s="274">
        <f t="shared" si="42"/>
        <v>14.241743999999999</v>
      </c>
      <c r="Q33" s="271">
        <f t="shared" si="42"/>
        <v>9.3239999999999998</v>
      </c>
      <c r="R33" s="272">
        <f t="shared" si="42"/>
        <v>10.069920000000002</v>
      </c>
      <c r="S33" s="272">
        <f t="shared" si="42"/>
        <v>10.815839999999998</v>
      </c>
      <c r="T33" s="273">
        <f t="shared" si="42"/>
        <v>12.30768</v>
      </c>
      <c r="U33" s="241">
        <f t="shared" si="42"/>
        <v>8.9244000000000003</v>
      </c>
      <c r="V33" s="272">
        <f t="shared" si="42"/>
        <v>9.6383519999999994</v>
      </c>
      <c r="W33" s="272">
        <f t="shared" si="42"/>
        <v>10.352304</v>
      </c>
      <c r="X33" s="274">
        <f t="shared" si="42"/>
        <v>11.780208000000002</v>
      </c>
    </row>
    <row r="34" spans="1:24" ht="18.75" customHeight="1" thickBot="1">
      <c r="A34" s="352"/>
      <c r="B34" s="21">
        <v>160</v>
      </c>
      <c r="C34" s="27"/>
      <c r="D34" s="62">
        <v>33.4</v>
      </c>
      <c r="E34" s="45">
        <f>D34/D33*E33</f>
        <v>15.03</v>
      </c>
      <c r="F34" s="46">
        <f t="shared" ref="F34:G34" si="43">E34/E33*F33</f>
        <v>16.232399999999998</v>
      </c>
      <c r="G34" s="69">
        <f t="shared" si="43"/>
        <v>17.434799999999999</v>
      </c>
      <c r="H34" s="298">
        <f>G34/G33*H33</f>
        <v>19.839599999999997</v>
      </c>
      <c r="I34" s="299">
        <f t="shared" ref="I34:X34" si="44">H34/H33*I33</f>
        <v>12.925800000000001</v>
      </c>
      <c r="J34" s="300">
        <f t="shared" si="44"/>
        <v>13.959863999999998</v>
      </c>
      <c r="K34" s="300">
        <f t="shared" si="44"/>
        <v>14.993928</v>
      </c>
      <c r="L34" s="301">
        <f t="shared" si="44"/>
        <v>17.062055999999998</v>
      </c>
      <c r="M34" s="242">
        <f t="shared" si="44"/>
        <v>12.174299999999999</v>
      </c>
      <c r="N34" s="300">
        <f t="shared" si="44"/>
        <v>13.148243999999996</v>
      </c>
      <c r="O34" s="300">
        <f t="shared" si="44"/>
        <v>14.122187999999998</v>
      </c>
      <c r="P34" s="302">
        <f t="shared" si="44"/>
        <v>16.070075999999997</v>
      </c>
      <c r="Q34" s="299">
        <f t="shared" si="44"/>
        <v>10.520999999999999</v>
      </c>
      <c r="R34" s="300">
        <f t="shared" si="44"/>
        <v>11.362680000000001</v>
      </c>
      <c r="S34" s="300">
        <f t="shared" si="44"/>
        <v>12.204359999999996</v>
      </c>
      <c r="T34" s="301">
        <f t="shared" si="44"/>
        <v>13.887719999999998</v>
      </c>
      <c r="U34" s="242">
        <f t="shared" si="44"/>
        <v>10.0701</v>
      </c>
      <c r="V34" s="300">
        <f t="shared" si="44"/>
        <v>10.875707999999998</v>
      </c>
      <c r="W34" s="300">
        <f t="shared" si="44"/>
        <v>11.681315999999999</v>
      </c>
      <c r="X34" s="302">
        <f t="shared" si="44"/>
        <v>13.292532000000001</v>
      </c>
    </row>
    <row r="35" spans="1:24" ht="18.75" customHeight="1">
      <c r="A35" s="350" t="s">
        <v>20</v>
      </c>
      <c r="B35" s="332">
        <v>100</v>
      </c>
      <c r="C35" s="26"/>
      <c r="D35" s="60">
        <f>'[1]Лист2 - Tаблица 1 - Tаблица 1'!J57</f>
        <v>31.5</v>
      </c>
      <c r="E35" s="275">
        <f>Лист2!C57</f>
        <v>14.175000000000001</v>
      </c>
      <c r="F35" s="276">
        <f>Лист2!D57</f>
        <v>15.309000000000001</v>
      </c>
      <c r="G35" s="277">
        <f>Лист2!E57</f>
        <v>16.443000000000001</v>
      </c>
      <c r="H35" s="278">
        <f>Лист2!F57</f>
        <v>18.711000000000002</v>
      </c>
      <c r="I35" s="279">
        <f>Лист2!G57</f>
        <v>12.1905</v>
      </c>
      <c r="J35" s="280">
        <f>Лист2!H57</f>
        <v>13.16574</v>
      </c>
      <c r="K35" s="280">
        <f>Лист2!I57</f>
        <v>14.140980000000001</v>
      </c>
      <c r="L35" s="281">
        <f>Лист2!J57</f>
        <v>16.091460000000001</v>
      </c>
      <c r="M35" s="282">
        <f>Лист2!K57</f>
        <v>11.48175</v>
      </c>
      <c r="N35" s="280">
        <f>Лист2!L57</f>
        <v>12.40029</v>
      </c>
      <c r="O35" s="280">
        <f>Лист2!M57</f>
        <v>13.31883</v>
      </c>
      <c r="P35" s="283">
        <f>Лист2!N57</f>
        <v>15.15591</v>
      </c>
      <c r="Q35" s="279">
        <f>Лист2!O57</f>
        <v>9.9224999999999994</v>
      </c>
      <c r="R35" s="280">
        <f>Лист2!P57</f>
        <v>10.716299999999999</v>
      </c>
      <c r="S35" s="280">
        <f>Лист2!Q57</f>
        <v>11.5101</v>
      </c>
      <c r="T35" s="281">
        <f>Лист2!R57</f>
        <v>13.0977</v>
      </c>
      <c r="U35" s="282">
        <f>Лист2!S57</f>
        <v>9.4972500000000011</v>
      </c>
      <c r="V35" s="280">
        <f>Лист2!T57</f>
        <v>10.25703</v>
      </c>
      <c r="W35" s="280">
        <f>Лист2!U57</f>
        <v>11.016810000000001</v>
      </c>
      <c r="X35" s="283">
        <f>Лист2!V57</f>
        <v>12.536370000000002</v>
      </c>
    </row>
    <row r="36" spans="1:24" ht="18.75" customHeight="1" thickBot="1">
      <c r="A36" s="351"/>
      <c r="B36" s="333"/>
      <c r="C36" s="25">
        <v>5</v>
      </c>
      <c r="D36" s="61">
        <v>33.9</v>
      </c>
      <c r="E36" s="37">
        <f t="shared" ref="E36:X36" si="45">D36/D35*E35</f>
        <v>15.255000000000001</v>
      </c>
      <c r="F36" s="38">
        <f t="shared" si="45"/>
        <v>16.4754</v>
      </c>
      <c r="G36" s="72">
        <f t="shared" si="45"/>
        <v>17.695800000000002</v>
      </c>
      <c r="H36" s="303">
        <f>G36/G35*H35</f>
        <v>20.136600000000001</v>
      </c>
      <c r="I36" s="252">
        <f t="shared" si="45"/>
        <v>13.119299999999999</v>
      </c>
      <c r="J36" s="250">
        <f t="shared" si="45"/>
        <v>14.168843999999998</v>
      </c>
      <c r="K36" s="250">
        <f t="shared" si="45"/>
        <v>15.218388000000001</v>
      </c>
      <c r="L36" s="253">
        <f t="shared" si="45"/>
        <v>17.317475999999999</v>
      </c>
      <c r="M36" s="249">
        <f t="shared" si="45"/>
        <v>12.356549999999999</v>
      </c>
      <c r="N36" s="250">
        <f t="shared" si="45"/>
        <v>13.345073999999999</v>
      </c>
      <c r="O36" s="250">
        <f t="shared" si="45"/>
        <v>14.333598</v>
      </c>
      <c r="P36" s="251">
        <f t="shared" si="45"/>
        <v>16.310645999999998</v>
      </c>
      <c r="Q36" s="252">
        <f t="shared" si="45"/>
        <v>10.6785</v>
      </c>
      <c r="R36" s="250">
        <f t="shared" si="45"/>
        <v>11.532779999999997</v>
      </c>
      <c r="S36" s="250">
        <f t="shared" si="45"/>
        <v>12.387059999999998</v>
      </c>
      <c r="T36" s="253">
        <f t="shared" si="45"/>
        <v>14.095619999999998</v>
      </c>
      <c r="U36" s="249">
        <f t="shared" si="45"/>
        <v>10.22085</v>
      </c>
      <c r="V36" s="250">
        <f t="shared" si="45"/>
        <v>11.038518</v>
      </c>
      <c r="W36" s="250">
        <f t="shared" si="45"/>
        <v>11.856186000000001</v>
      </c>
      <c r="X36" s="251">
        <f t="shared" si="45"/>
        <v>13.491522000000002</v>
      </c>
    </row>
    <row r="37" spans="1:24" ht="18.75" customHeight="1">
      <c r="A37" s="351"/>
      <c r="B37" s="332">
        <v>120</v>
      </c>
      <c r="C37" s="26"/>
      <c r="D37" s="57">
        <v>37.200000000000003</v>
      </c>
      <c r="E37" s="39">
        <f>D37/D35*E35</f>
        <v>16.740000000000002</v>
      </c>
      <c r="F37" s="40">
        <f t="shared" ref="F37:X37" si="46">E37/E35*F35</f>
        <v>18.0792</v>
      </c>
      <c r="G37" s="67">
        <f t="shared" si="46"/>
        <v>19.418400000000002</v>
      </c>
      <c r="H37" s="284">
        <f t="shared" si="46"/>
        <v>22.096800000000002</v>
      </c>
      <c r="I37" s="285">
        <f t="shared" si="46"/>
        <v>14.3964</v>
      </c>
      <c r="J37" s="286">
        <f t="shared" si="46"/>
        <v>15.548112</v>
      </c>
      <c r="K37" s="286">
        <f t="shared" si="46"/>
        <v>16.699824</v>
      </c>
      <c r="L37" s="287">
        <f t="shared" si="46"/>
        <v>19.003247999999999</v>
      </c>
      <c r="M37" s="240">
        <f t="shared" si="46"/>
        <v>13.559399999999998</v>
      </c>
      <c r="N37" s="286">
        <f t="shared" si="46"/>
        <v>14.644151999999998</v>
      </c>
      <c r="O37" s="286">
        <f t="shared" si="46"/>
        <v>15.728903999999998</v>
      </c>
      <c r="P37" s="288">
        <f t="shared" si="46"/>
        <v>17.898407999999996</v>
      </c>
      <c r="Q37" s="285">
        <f t="shared" si="46"/>
        <v>11.717999999999998</v>
      </c>
      <c r="R37" s="286">
        <f t="shared" si="46"/>
        <v>12.655439999999997</v>
      </c>
      <c r="S37" s="286">
        <f t="shared" si="46"/>
        <v>13.592879999999997</v>
      </c>
      <c r="T37" s="287">
        <f t="shared" si="46"/>
        <v>15.467759999999997</v>
      </c>
      <c r="U37" s="240">
        <f t="shared" si="46"/>
        <v>11.2158</v>
      </c>
      <c r="V37" s="286">
        <f t="shared" si="46"/>
        <v>12.113063999999998</v>
      </c>
      <c r="W37" s="286">
        <f t="shared" si="46"/>
        <v>13.010327999999999</v>
      </c>
      <c r="X37" s="288">
        <f t="shared" si="46"/>
        <v>14.804855999999999</v>
      </c>
    </row>
    <row r="38" spans="1:24" ht="18.75" customHeight="1" thickBot="1">
      <c r="A38" s="351"/>
      <c r="B38" s="333"/>
      <c r="C38" s="25">
        <v>5</v>
      </c>
      <c r="D38" s="63">
        <v>40</v>
      </c>
      <c r="E38" s="41">
        <f t="shared" ref="E38:X38" si="47">D38/D35*E35</f>
        <v>18</v>
      </c>
      <c r="F38" s="42">
        <f t="shared" si="47"/>
        <v>19.440000000000001</v>
      </c>
      <c r="G38" s="70">
        <f t="shared" si="47"/>
        <v>20.88</v>
      </c>
      <c r="H38" s="309">
        <f t="shared" si="47"/>
        <v>23.76</v>
      </c>
      <c r="I38" s="246">
        <f t="shared" si="47"/>
        <v>15.479999999999999</v>
      </c>
      <c r="J38" s="244">
        <f t="shared" si="47"/>
        <v>16.718399999999999</v>
      </c>
      <c r="K38" s="244">
        <f t="shared" si="47"/>
        <v>17.956800000000001</v>
      </c>
      <c r="L38" s="247">
        <f t="shared" si="47"/>
        <v>20.433600000000002</v>
      </c>
      <c r="M38" s="243">
        <f t="shared" si="47"/>
        <v>14.579999999999998</v>
      </c>
      <c r="N38" s="244">
        <f t="shared" si="47"/>
        <v>15.7464</v>
      </c>
      <c r="O38" s="244">
        <f t="shared" si="47"/>
        <v>16.912800000000001</v>
      </c>
      <c r="P38" s="245">
        <f t="shared" si="47"/>
        <v>19.2456</v>
      </c>
      <c r="Q38" s="246">
        <f t="shared" si="47"/>
        <v>12.599999999999998</v>
      </c>
      <c r="R38" s="244">
        <f t="shared" si="47"/>
        <v>13.607999999999997</v>
      </c>
      <c r="S38" s="244">
        <f t="shared" si="47"/>
        <v>14.615999999999998</v>
      </c>
      <c r="T38" s="247">
        <f t="shared" si="47"/>
        <v>16.631999999999998</v>
      </c>
      <c r="U38" s="243">
        <f t="shared" si="47"/>
        <v>12.06</v>
      </c>
      <c r="V38" s="244">
        <f t="shared" si="47"/>
        <v>13.024799999999999</v>
      </c>
      <c r="W38" s="244">
        <f t="shared" si="47"/>
        <v>13.989600000000001</v>
      </c>
      <c r="X38" s="245">
        <f t="shared" si="47"/>
        <v>15.919200000000002</v>
      </c>
    </row>
    <row r="39" spans="1:24" ht="18.75" customHeight="1" thickBot="1">
      <c r="A39" s="351"/>
      <c r="B39" s="20">
        <v>140</v>
      </c>
      <c r="C39" s="27"/>
      <c r="D39" s="59">
        <v>42.9</v>
      </c>
      <c r="E39" s="43">
        <f>D39/D37*E37</f>
        <v>19.305</v>
      </c>
      <c r="F39" s="44">
        <f t="shared" ref="F39:X39" si="48">E39/E37*F37</f>
        <v>20.849399999999999</v>
      </c>
      <c r="G39" s="68">
        <f t="shared" si="48"/>
        <v>22.393799999999999</v>
      </c>
      <c r="H39" s="270">
        <f t="shared" si="48"/>
        <v>25.482599999999998</v>
      </c>
      <c r="I39" s="271">
        <f t="shared" si="48"/>
        <v>16.6023</v>
      </c>
      <c r="J39" s="272">
        <f t="shared" si="48"/>
        <v>17.930484</v>
      </c>
      <c r="K39" s="272">
        <f t="shared" si="48"/>
        <v>19.258668</v>
      </c>
      <c r="L39" s="273">
        <f t="shared" si="48"/>
        <v>21.915036000000001</v>
      </c>
      <c r="M39" s="241">
        <f t="shared" si="48"/>
        <v>15.637049999999999</v>
      </c>
      <c r="N39" s="272">
        <f t="shared" si="48"/>
        <v>16.888013999999998</v>
      </c>
      <c r="O39" s="272">
        <f t="shared" si="48"/>
        <v>18.138977999999998</v>
      </c>
      <c r="P39" s="274">
        <f t="shared" si="48"/>
        <v>20.640905999999998</v>
      </c>
      <c r="Q39" s="271">
        <f t="shared" si="48"/>
        <v>13.513499999999999</v>
      </c>
      <c r="R39" s="272">
        <f t="shared" si="48"/>
        <v>14.594579999999997</v>
      </c>
      <c r="S39" s="272">
        <f t="shared" si="48"/>
        <v>15.675659999999999</v>
      </c>
      <c r="T39" s="273">
        <f t="shared" si="48"/>
        <v>17.837819999999997</v>
      </c>
      <c r="U39" s="241">
        <f t="shared" si="48"/>
        <v>12.93435</v>
      </c>
      <c r="V39" s="272">
        <f t="shared" si="48"/>
        <v>13.969097999999999</v>
      </c>
      <c r="W39" s="272">
        <f t="shared" si="48"/>
        <v>15.003846000000001</v>
      </c>
      <c r="X39" s="274">
        <f t="shared" si="48"/>
        <v>17.073342</v>
      </c>
    </row>
    <row r="40" spans="1:24" ht="18.75" customHeight="1" thickBot="1">
      <c r="A40" s="352"/>
      <c r="B40" s="21">
        <v>160</v>
      </c>
      <c r="C40" s="28"/>
      <c r="D40" s="62">
        <v>48.6</v>
      </c>
      <c r="E40" s="310">
        <f>D40/D39*E39</f>
        <v>21.87</v>
      </c>
      <c r="F40" s="311">
        <f t="shared" ref="F40:H40" si="49">E40/E39*F39</f>
        <v>23.619600000000002</v>
      </c>
      <c r="G40" s="312">
        <f t="shared" si="49"/>
        <v>25.369199999999999</v>
      </c>
      <c r="H40" s="313">
        <f t="shared" si="49"/>
        <v>28.868399999999998</v>
      </c>
      <c r="I40" s="314">
        <f t="shared" ref="I40" si="50">H40/H39*I39</f>
        <v>18.808199999999999</v>
      </c>
      <c r="J40" s="315">
        <f t="shared" ref="J40" si="51">I40/I39*J39</f>
        <v>20.312856</v>
      </c>
      <c r="K40" s="315">
        <f t="shared" ref="K40" si="52">J40/J39*K39</f>
        <v>21.817512000000001</v>
      </c>
      <c r="L40" s="316">
        <f t="shared" ref="L40" si="53">K40/K39*L39</f>
        <v>24.826824000000002</v>
      </c>
      <c r="M40" s="317">
        <f t="shared" ref="M40" si="54">L40/L39*M39</f>
        <v>17.714700000000001</v>
      </c>
      <c r="N40" s="315">
        <f t="shared" ref="N40" si="55">M40/M39*N39</f>
        <v>19.131875999999998</v>
      </c>
      <c r="O40" s="315">
        <f t="shared" ref="O40" si="56">N40/N39*O39</f>
        <v>20.549052</v>
      </c>
      <c r="P40" s="318">
        <f t="shared" ref="P40" si="57">O40/O39*P39</f>
        <v>23.383403999999999</v>
      </c>
      <c r="Q40" s="314">
        <f t="shared" ref="Q40" si="58">P40/P39*Q39</f>
        <v>15.308999999999999</v>
      </c>
      <c r="R40" s="315">
        <f t="shared" ref="R40" si="59">Q40/Q39*R39</f>
        <v>16.533719999999999</v>
      </c>
      <c r="S40" s="315">
        <f t="shared" ref="S40" si="60">R40/R39*S39</f>
        <v>17.75844</v>
      </c>
      <c r="T40" s="316">
        <f t="shared" ref="T40" si="61">S40/S39*T39</f>
        <v>20.207879999999999</v>
      </c>
      <c r="U40" s="317">
        <f t="shared" ref="U40" si="62">T40/T39*U39</f>
        <v>14.652900000000001</v>
      </c>
      <c r="V40" s="315">
        <f t="shared" ref="V40" si="63">U40/U39*V39</f>
        <v>15.825132</v>
      </c>
      <c r="W40" s="315">
        <f t="shared" ref="W40" si="64">V40/V39*W39</f>
        <v>16.997364000000001</v>
      </c>
      <c r="X40" s="318">
        <f t="shared" ref="X40" si="65">W40/W39*X39</f>
        <v>19.341828</v>
      </c>
    </row>
    <row r="41" spans="1:24" ht="18.75" customHeight="1">
      <c r="A41" s="350" t="s">
        <v>21</v>
      </c>
      <c r="B41" s="332">
        <v>100</v>
      </c>
      <c r="C41" s="26"/>
      <c r="D41" s="60">
        <f>'[1]Лист2 - Tаблица 1 - Tаблица 1'!L57</f>
        <v>42.9</v>
      </c>
      <c r="E41" s="31">
        <f>Лист2!C58</f>
        <v>19.305</v>
      </c>
      <c r="F41" s="32">
        <f>Лист2!D58</f>
        <v>20.849399999999999</v>
      </c>
      <c r="G41" s="64">
        <f>Лист2!E58</f>
        <v>22.393799999999999</v>
      </c>
      <c r="H41" s="256">
        <f>Лист2!F58</f>
        <v>25.482599999999998</v>
      </c>
      <c r="I41" s="322">
        <f>Лист2!G58</f>
        <v>16.6023</v>
      </c>
      <c r="J41" s="259">
        <f>Лист2!H58</f>
        <v>17.930484</v>
      </c>
      <c r="K41" s="259">
        <f>Лист2!I58</f>
        <v>19.258668</v>
      </c>
      <c r="L41" s="323">
        <f>Лист2!J58</f>
        <v>21.915036000000001</v>
      </c>
      <c r="M41" s="229">
        <f>Лист2!K58</f>
        <v>15.63705</v>
      </c>
      <c r="N41" s="259">
        <f>Лист2!L58</f>
        <v>16.888014000000002</v>
      </c>
      <c r="O41" s="259">
        <f>Лист2!M58</f>
        <v>18.138978000000002</v>
      </c>
      <c r="P41" s="260">
        <f>Лист2!N58</f>
        <v>20.640906000000001</v>
      </c>
      <c r="Q41" s="322">
        <f>Лист2!O58</f>
        <v>13.513500000000001</v>
      </c>
      <c r="R41" s="259">
        <f>Лист2!P58</f>
        <v>14.594580000000001</v>
      </c>
      <c r="S41" s="259">
        <f>Лист2!Q58</f>
        <v>15.675660000000001</v>
      </c>
      <c r="T41" s="323">
        <f>Лист2!R58</f>
        <v>17.837820000000001</v>
      </c>
      <c r="U41" s="229">
        <f>Лист2!S58</f>
        <v>12.934349999999998</v>
      </c>
      <c r="V41" s="259">
        <f>Лист2!T58</f>
        <v>13.969097999999999</v>
      </c>
      <c r="W41" s="259">
        <f>Лист2!U58</f>
        <v>15.003845999999998</v>
      </c>
      <c r="X41" s="260">
        <f>Лист2!V58</f>
        <v>17.073341999999997</v>
      </c>
    </row>
    <row r="42" spans="1:24" ht="18.75" customHeight="1" thickBot="1">
      <c r="A42" s="351"/>
      <c r="B42" s="333"/>
      <c r="C42" s="25">
        <v>5</v>
      </c>
      <c r="D42" s="61">
        <v>46.2</v>
      </c>
      <c r="E42" s="41">
        <f>D42/D41*E41</f>
        <v>20.790000000000003</v>
      </c>
      <c r="F42" s="42">
        <f t="shared" ref="F42:X42" si="66">E42/E41*F41</f>
        <v>22.453200000000002</v>
      </c>
      <c r="G42" s="70">
        <f t="shared" si="66"/>
        <v>24.116400000000002</v>
      </c>
      <c r="H42" s="309">
        <f t="shared" si="66"/>
        <v>27.442800000000002</v>
      </c>
      <c r="I42" s="246">
        <f t="shared" si="66"/>
        <v>17.879400000000004</v>
      </c>
      <c r="J42" s="244">
        <f t="shared" si="66"/>
        <v>19.309752000000003</v>
      </c>
      <c r="K42" s="244">
        <f t="shared" si="66"/>
        <v>20.740104000000002</v>
      </c>
      <c r="L42" s="247">
        <f t="shared" si="66"/>
        <v>23.600808000000004</v>
      </c>
      <c r="M42" s="243">
        <f t="shared" si="66"/>
        <v>16.839900000000004</v>
      </c>
      <c r="N42" s="244">
        <f t="shared" si="66"/>
        <v>18.187092000000003</v>
      </c>
      <c r="O42" s="244">
        <f t="shared" si="66"/>
        <v>19.534284000000003</v>
      </c>
      <c r="P42" s="245">
        <f t="shared" si="66"/>
        <v>22.228668000000006</v>
      </c>
      <c r="Q42" s="246">
        <f t="shared" si="66"/>
        <v>14.553000000000003</v>
      </c>
      <c r="R42" s="244">
        <f t="shared" si="66"/>
        <v>15.717240000000004</v>
      </c>
      <c r="S42" s="244">
        <f t="shared" si="66"/>
        <v>16.881480000000003</v>
      </c>
      <c r="T42" s="247">
        <f t="shared" si="66"/>
        <v>19.209960000000002</v>
      </c>
      <c r="U42" s="243">
        <f t="shared" si="66"/>
        <v>13.929300000000001</v>
      </c>
      <c r="V42" s="244">
        <f t="shared" si="66"/>
        <v>15.043644</v>
      </c>
      <c r="W42" s="244">
        <f t="shared" si="66"/>
        <v>16.157988</v>
      </c>
      <c r="X42" s="245">
        <f t="shared" si="66"/>
        <v>18.386675999999998</v>
      </c>
    </row>
    <row r="43" spans="1:24" ht="18.75" customHeight="1">
      <c r="A43" s="351"/>
      <c r="B43" s="332">
        <v>120</v>
      </c>
      <c r="C43" s="26"/>
      <c r="D43" s="57">
        <v>50.9</v>
      </c>
      <c r="E43" s="47">
        <f>D43/D41*E41</f>
        <v>22.904999999999998</v>
      </c>
      <c r="F43" s="48">
        <f t="shared" ref="F43:X43" si="67">E43/E41*F41</f>
        <v>24.737399999999997</v>
      </c>
      <c r="G43" s="71">
        <f t="shared" si="67"/>
        <v>26.569799999999997</v>
      </c>
      <c r="H43" s="304">
        <f t="shared" si="67"/>
        <v>30.234599999999997</v>
      </c>
      <c r="I43" s="305">
        <f t="shared" si="67"/>
        <v>19.6983</v>
      </c>
      <c r="J43" s="306">
        <f t="shared" si="67"/>
        <v>21.274163999999999</v>
      </c>
      <c r="K43" s="306">
        <f t="shared" si="67"/>
        <v>22.850027999999998</v>
      </c>
      <c r="L43" s="307">
        <f t="shared" si="67"/>
        <v>26.001756</v>
      </c>
      <c r="M43" s="248">
        <f t="shared" si="67"/>
        <v>18.553049999999999</v>
      </c>
      <c r="N43" s="306">
        <f t="shared" si="67"/>
        <v>20.037293999999999</v>
      </c>
      <c r="O43" s="306">
        <f t="shared" si="67"/>
        <v>21.521538</v>
      </c>
      <c r="P43" s="308">
        <f t="shared" si="67"/>
        <v>24.490026</v>
      </c>
      <c r="Q43" s="305">
        <f t="shared" si="67"/>
        <v>16.0335</v>
      </c>
      <c r="R43" s="306">
        <f t="shared" si="67"/>
        <v>17.316179999999999</v>
      </c>
      <c r="S43" s="306">
        <f t="shared" si="67"/>
        <v>18.598859999999998</v>
      </c>
      <c r="T43" s="307">
        <f t="shared" si="67"/>
        <v>21.16422</v>
      </c>
      <c r="U43" s="248">
        <f t="shared" si="67"/>
        <v>15.346349999999997</v>
      </c>
      <c r="V43" s="306">
        <f t="shared" si="67"/>
        <v>16.574057999999997</v>
      </c>
      <c r="W43" s="306">
        <f t="shared" si="67"/>
        <v>17.801765999999997</v>
      </c>
      <c r="X43" s="308">
        <f t="shared" si="67"/>
        <v>20.257181999999993</v>
      </c>
    </row>
    <row r="44" spans="1:24" ht="18.75" customHeight="1" thickBot="1">
      <c r="A44" s="351"/>
      <c r="B44" s="333"/>
      <c r="C44" s="25">
        <v>5</v>
      </c>
      <c r="D44" s="61">
        <v>54.9</v>
      </c>
      <c r="E44" s="37">
        <f t="shared" ref="E44:X44" si="68">D44/D41*E41</f>
        <v>24.705000000000002</v>
      </c>
      <c r="F44" s="38">
        <f t="shared" si="68"/>
        <v>26.6814</v>
      </c>
      <c r="G44" s="72">
        <f t="shared" si="68"/>
        <v>28.657800000000002</v>
      </c>
      <c r="H44" s="303">
        <f t="shared" si="68"/>
        <v>32.610599999999998</v>
      </c>
      <c r="I44" s="252">
        <f t="shared" si="68"/>
        <v>21.246300000000002</v>
      </c>
      <c r="J44" s="250">
        <f t="shared" si="68"/>
        <v>22.946004000000002</v>
      </c>
      <c r="K44" s="250">
        <f t="shared" si="68"/>
        <v>24.645708000000003</v>
      </c>
      <c r="L44" s="253">
        <f t="shared" si="68"/>
        <v>28.045116000000004</v>
      </c>
      <c r="M44" s="249">
        <f t="shared" si="68"/>
        <v>20.011050000000001</v>
      </c>
      <c r="N44" s="250">
        <f t="shared" si="68"/>
        <v>21.611934000000005</v>
      </c>
      <c r="O44" s="250">
        <f t="shared" si="68"/>
        <v>23.212818000000002</v>
      </c>
      <c r="P44" s="251">
        <f t="shared" si="68"/>
        <v>26.414586000000003</v>
      </c>
      <c r="Q44" s="252">
        <f t="shared" si="68"/>
        <v>17.293500000000002</v>
      </c>
      <c r="R44" s="250">
        <f t="shared" si="68"/>
        <v>18.67698</v>
      </c>
      <c r="S44" s="250">
        <f t="shared" si="68"/>
        <v>20.060460000000003</v>
      </c>
      <c r="T44" s="253">
        <f t="shared" si="68"/>
        <v>22.827420000000004</v>
      </c>
      <c r="U44" s="249">
        <f t="shared" si="68"/>
        <v>16.552350000000001</v>
      </c>
      <c r="V44" s="250">
        <f t="shared" si="68"/>
        <v>17.876538000000004</v>
      </c>
      <c r="W44" s="250">
        <f t="shared" si="68"/>
        <v>19.200726000000003</v>
      </c>
      <c r="X44" s="251">
        <f t="shared" si="68"/>
        <v>21.849102000000006</v>
      </c>
    </row>
    <row r="45" spans="1:24" ht="18.75" customHeight="1" thickBot="1">
      <c r="A45" s="351"/>
      <c r="B45" s="21">
        <v>140</v>
      </c>
      <c r="C45" s="22"/>
      <c r="D45" s="59">
        <v>58.8</v>
      </c>
      <c r="E45" s="49">
        <f>D45/D43*E43</f>
        <v>26.459999999999994</v>
      </c>
      <c r="F45" s="50">
        <f t="shared" ref="F45:X45" si="69">E45/E43*F43</f>
        <v>28.576799999999995</v>
      </c>
      <c r="G45" s="73">
        <f t="shared" si="69"/>
        <v>30.693599999999993</v>
      </c>
      <c r="H45" s="324">
        <f t="shared" si="69"/>
        <v>34.927199999999992</v>
      </c>
      <c r="I45" s="325">
        <f t="shared" si="69"/>
        <v>22.755599999999998</v>
      </c>
      <c r="J45" s="326">
        <f t="shared" si="69"/>
        <v>24.576047999999997</v>
      </c>
      <c r="K45" s="326">
        <f t="shared" si="69"/>
        <v>26.396495999999996</v>
      </c>
      <c r="L45" s="327">
        <f t="shared" si="69"/>
        <v>30.037391999999997</v>
      </c>
      <c r="M45" s="254">
        <f t="shared" si="69"/>
        <v>21.432599999999997</v>
      </c>
      <c r="N45" s="326">
        <f t="shared" si="69"/>
        <v>23.147207999999996</v>
      </c>
      <c r="O45" s="326">
        <f t="shared" si="69"/>
        <v>24.861815999999997</v>
      </c>
      <c r="P45" s="328">
        <f t="shared" si="69"/>
        <v>28.291031999999998</v>
      </c>
      <c r="Q45" s="325">
        <f t="shared" si="69"/>
        <v>18.521999999999998</v>
      </c>
      <c r="R45" s="326">
        <f t="shared" si="69"/>
        <v>20.003759999999996</v>
      </c>
      <c r="S45" s="326">
        <f t="shared" si="69"/>
        <v>21.485519999999998</v>
      </c>
      <c r="T45" s="327">
        <f t="shared" si="69"/>
        <v>24.449039999999997</v>
      </c>
      <c r="U45" s="254">
        <f t="shared" si="69"/>
        <v>17.728199999999994</v>
      </c>
      <c r="V45" s="326">
        <f t="shared" si="69"/>
        <v>19.146455999999993</v>
      </c>
      <c r="W45" s="326">
        <f t="shared" si="69"/>
        <v>20.564711999999993</v>
      </c>
      <c r="X45" s="328">
        <f t="shared" si="69"/>
        <v>23.401223999999988</v>
      </c>
    </row>
    <row r="46" spans="1:24" ht="18.75" customHeight="1" thickBot="1">
      <c r="A46" s="352"/>
      <c r="B46" s="21">
        <v>160</v>
      </c>
      <c r="C46" s="22"/>
      <c r="D46" s="59">
        <v>66.8</v>
      </c>
      <c r="E46" s="51">
        <f>D46/D45*E45</f>
        <v>30.059999999999992</v>
      </c>
      <c r="F46" s="52">
        <f t="shared" ref="F46:H46" si="70">E46/E45*F45</f>
        <v>32.46479999999999</v>
      </c>
      <c r="G46" s="74">
        <f t="shared" si="70"/>
        <v>34.869599999999991</v>
      </c>
      <c r="H46" s="319">
        <f t="shared" si="70"/>
        <v>39.679199999999987</v>
      </c>
      <c r="I46" s="330">
        <f t="shared" ref="I46" si="71">H46/H45*I45</f>
        <v>25.851599999999994</v>
      </c>
      <c r="J46" s="320">
        <f t="shared" ref="J46" si="72">I46/I45*J45</f>
        <v>27.919727999999996</v>
      </c>
      <c r="K46" s="320">
        <f t="shared" ref="K46" si="73">J46/J45*K45</f>
        <v>29.987855999999994</v>
      </c>
      <c r="L46" s="331">
        <f t="shared" ref="L46" si="74">K46/K45*L45</f>
        <v>34.124111999999997</v>
      </c>
      <c r="M46" s="255">
        <f t="shared" ref="M46" si="75">L46/L45*M45</f>
        <v>24.348599999999994</v>
      </c>
      <c r="N46" s="320">
        <f t="shared" ref="N46" si="76">M46/M45*N45</f>
        <v>26.296487999999993</v>
      </c>
      <c r="O46" s="320">
        <f t="shared" ref="O46" si="77">N46/N45*O45</f>
        <v>28.244375999999995</v>
      </c>
      <c r="P46" s="321">
        <f t="shared" ref="P46" si="78">O46/O45*P45</f>
        <v>32.140151999999993</v>
      </c>
      <c r="Q46" s="330">
        <f t="shared" ref="Q46" si="79">P46/P45*Q45</f>
        <v>21.041999999999998</v>
      </c>
      <c r="R46" s="320">
        <f t="shared" ref="R46" si="80">Q46/Q45*R45</f>
        <v>22.725359999999995</v>
      </c>
      <c r="S46" s="320">
        <f t="shared" ref="S46" si="81">R46/R45*S45</f>
        <v>24.408719999999995</v>
      </c>
      <c r="T46" s="331">
        <f t="shared" ref="T46" si="82">S46/S45*T45</f>
        <v>27.775439999999993</v>
      </c>
      <c r="U46" s="255">
        <f t="shared" ref="U46" si="83">T46/T45*U45</f>
        <v>20.140199999999993</v>
      </c>
      <c r="V46" s="320">
        <f t="shared" ref="V46" si="84">U46/U45*V45</f>
        <v>21.751415999999992</v>
      </c>
      <c r="W46" s="320">
        <f t="shared" ref="W46" si="85">V46/V45*W45</f>
        <v>23.362631999999991</v>
      </c>
      <c r="X46" s="321">
        <f t="shared" ref="X46" si="86">W46/W45*X45</f>
        <v>26.585063999999985</v>
      </c>
    </row>
    <row r="47" spans="1:24" ht="16.5" customHeight="1">
      <c r="A47" s="23"/>
      <c r="M47" s="329"/>
      <c r="N47" s="329"/>
      <c r="O47" s="329"/>
      <c r="P47" s="329"/>
    </row>
    <row r="48" spans="1:24" ht="16.5" customHeight="1">
      <c r="A48" s="23"/>
    </row>
    <row r="49" spans="1:1" ht="16.5" customHeight="1">
      <c r="A49" s="23"/>
    </row>
    <row r="50" spans="1:1" ht="16.5" customHeight="1"/>
    <row r="51" spans="1:1" ht="16.5" customHeight="1"/>
    <row r="52" spans="1:1" ht="16.5" customHeight="1"/>
    <row r="53" spans="1:1" ht="16.5" customHeight="1"/>
    <row r="54" spans="1:1" ht="16.5" customHeight="1"/>
    <row r="55" spans="1:1" ht="16.5" customHeight="1"/>
    <row r="56" spans="1:1" ht="16.5" customHeight="1"/>
    <row r="57" spans="1:1" ht="16.5" customHeight="1"/>
    <row r="58" spans="1:1" ht="16.5" customHeight="1"/>
    <row r="59" spans="1:1" ht="16.5" customHeight="1"/>
    <row r="60" spans="1:1" ht="16.5" customHeight="1"/>
    <row r="61" spans="1:1" ht="16.5" customHeight="1"/>
    <row r="62" spans="1:1" ht="16.5" customHeight="1"/>
    <row r="63" spans="1:1" ht="16.5" customHeight="1"/>
    <row r="64" spans="1:1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</sheetData>
  <mergeCells count="29">
    <mergeCell ref="A7:A14"/>
    <mergeCell ref="A35:A40"/>
    <mergeCell ref="A41:A46"/>
    <mergeCell ref="A1:B1"/>
    <mergeCell ref="A5:D5"/>
    <mergeCell ref="B7:B9"/>
    <mergeCell ref="A15:A24"/>
    <mergeCell ref="A25:A34"/>
    <mergeCell ref="B15:B18"/>
    <mergeCell ref="B19:B22"/>
    <mergeCell ref="B25:B28"/>
    <mergeCell ref="B29:B32"/>
    <mergeCell ref="A2:C2"/>
    <mergeCell ref="C3:E3"/>
    <mergeCell ref="B43:B44"/>
    <mergeCell ref="B41:B42"/>
    <mergeCell ref="S1:X2"/>
    <mergeCell ref="A4:D4"/>
    <mergeCell ref="E4:H4"/>
    <mergeCell ref="I4:L4"/>
    <mergeCell ref="M4:P4"/>
    <mergeCell ref="Q4:T4"/>
    <mergeCell ref="B37:B38"/>
    <mergeCell ref="B35:B36"/>
    <mergeCell ref="S3:W3"/>
    <mergeCell ref="U4:X4"/>
    <mergeCell ref="B10:B12"/>
    <mergeCell ref="I6:X6"/>
    <mergeCell ref="E6:H6"/>
  </mergeCells>
  <pageMargins left="0" right="0" top="0" bottom="0" header="0" footer="0"/>
  <pageSetup paperSize="9" scale="61" orientation="landscape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opLeftCell="A37" zoomScale="70" zoomScaleNormal="70" workbookViewId="0">
      <selection activeCell="J56" sqref="J56"/>
    </sheetView>
  </sheetViews>
  <sheetFormatPr defaultRowHeight="15"/>
  <sheetData>
    <row r="1" spans="1:23" ht="15.75">
      <c r="A1" s="75"/>
      <c r="B1" s="76"/>
      <c r="C1" s="364">
        <v>5000</v>
      </c>
      <c r="D1" s="364"/>
      <c r="E1" s="364"/>
      <c r="F1" s="364"/>
      <c r="G1" s="365">
        <v>10000</v>
      </c>
      <c r="H1" s="365"/>
      <c r="I1" s="365"/>
      <c r="J1" s="365"/>
      <c r="K1" s="365">
        <v>20000</v>
      </c>
      <c r="L1" s="365"/>
      <c r="M1" s="365"/>
      <c r="N1" s="365"/>
      <c r="O1" s="365">
        <v>50000</v>
      </c>
      <c r="P1" s="365"/>
      <c r="Q1" s="365"/>
      <c r="R1" s="365"/>
      <c r="S1" s="365" t="s">
        <v>22</v>
      </c>
      <c r="T1" s="365"/>
      <c r="U1" s="365"/>
      <c r="V1" s="365"/>
      <c r="W1" s="77"/>
    </row>
    <row r="2" spans="1:23" ht="15.75" thickBot="1">
      <c r="A2" s="78" t="s">
        <v>23</v>
      </c>
      <c r="B2" s="79"/>
      <c r="C2" s="80" t="s">
        <v>24</v>
      </c>
      <c r="D2" s="81" t="s">
        <v>25</v>
      </c>
      <c r="E2" s="82" t="s">
        <v>26</v>
      </c>
      <c r="F2" s="82" t="s">
        <v>27</v>
      </c>
      <c r="G2" s="80" t="s">
        <v>24</v>
      </c>
      <c r="H2" s="81" t="s">
        <v>25</v>
      </c>
      <c r="I2" s="82" t="s">
        <v>26</v>
      </c>
      <c r="J2" s="82" t="s">
        <v>27</v>
      </c>
      <c r="K2" s="80" t="s">
        <v>24</v>
      </c>
      <c r="L2" s="81" t="s">
        <v>25</v>
      </c>
      <c r="M2" s="82" t="s">
        <v>26</v>
      </c>
      <c r="N2" s="82" t="s">
        <v>27</v>
      </c>
      <c r="O2" s="80" t="s">
        <v>24</v>
      </c>
      <c r="P2" s="81" t="s">
        <v>25</v>
      </c>
      <c r="Q2" s="82" t="s">
        <v>26</v>
      </c>
      <c r="R2" s="82" t="s">
        <v>27</v>
      </c>
      <c r="S2" s="80" t="s">
        <v>24</v>
      </c>
      <c r="T2" s="81" t="s">
        <v>25</v>
      </c>
      <c r="U2" s="82" t="s">
        <v>26</v>
      </c>
      <c r="V2" s="82" t="s">
        <v>27</v>
      </c>
      <c r="W2" s="77"/>
    </row>
    <row r="3" spans="1:23" ht="15.75" thickBot="1">
      <c r="A3" s="83"/>
      <c r="B3" s="84"/>
      <c r="C3" s="85">
        <v>400</v>
      </c>
      <c r="D3" s="86" t="s">
        <v>28</v>
      </c>
      <c r="E3" s="86"/>
      <c r="F3" s="87"/>
      <c r="G3" s="85">
        <v>238</v>
      </c>
      <c r="H3" s="86" t="s">
        <v>28</v>
      </c>
      <c r="I3" s="86"/>
      <c r="J3" s="87"/>
      <c r="K3" s="85">
        <v>224</v>
      </c>
      <c r="L3" s="86" t="s">
        <v>28</v>
      </c>
      <c r="M3" s="86"/>
      <c r="N3" s="87"/>
      <c r="O3" s="85">
        <v>212</v>
      </c>
      <c r="P3" s="86" t="s">
        <v>28</v>
      </c>
      <c r="Q3" s="86"/>
      <c r="R3" s="87"/>
      <c r="S3" s="85">
        <v>200</v>
      </c>
      <c r="T3" s="86" t="s">
        <v>28</v>
      </c>
      <c r="U3" s="88"/>
      <c r="V3" s="89"/>
      <c r="W3" s="363" t="s">
        <v>29</v>
      </c>
    </row>
    <row r="4" spans="1:23" ht="15.75" thickBot="1">
      <c r="A4" s="90"/>
      <c r="B4" s="91"/>
      <c r="C4" s="92">
        <f>31*35*0.95/10000000*C3</f>
        <v>4.1230000000000003E-2</v>
      </c>
      <c r="D4" s="93" t="s">
        <v>30</v>
      </c>
      <c r="E4" s="94"/>
      <c r="F4" s="95"/>
      <c r="G4" s="96">
        <f>31*35*0.95/10000000*G3</f>
        <v>2.4531850000000001E-2</v>
      </c>
      <c r="H4" s="93" t="s">
        <v>30</v>
      </c>
      <c r="I4" s="94"/>
      <c r="J4" s="95"/>
      <c r="K4" s="96">
        <f>31*35*0.95/10000000*K3</f>
        <v>2.30888E-2</v>
      </c>
      <c r="L4" s="93" t="s">
        <v>30</v>
      </c>
      <c r="M4" s="94"/>
      <c r="N4" s="95"/>
      <c r="O4" s="96">
        <f>31*35*0.95/10000000*O3</f>
        <v>2.18519E-2</v>
      </c>
      <c r="P4" s="93" t="s">
        <v>30</v>
      </c>
      <c r="Q4" s="94"/>
      <c r="R4" s="95"/>
      <c r="S4" s="96">
        <f>31*35*0.95/10000000*S3</f>
        <v>2.0615000000000001E-2</v>
      </c>
      <c r="T4" s="93" t="s">
        <v>30</v>
      </c>
      <c r="U4" s="97"/>
      <c r="V4" s="98"/>
      <c r="W4" s="363"/>
    </row>
    <row r="5" spans="1:23" ht="20.25" thickBot="1">
      <c r="A5" s="99" t="s">
        <v>31</v>
      </c>
      <c r="B5" s="100">
        <v>25</v>
      </c>
      <c r="C5" s="101">
        <f>C4*B5</f>
        <v>1.0307500000000001</v>
      </c>
      <c r="D5" s="102">
        <f>C5+(C5/100*8)</f>
        <v>1.11321</v>
      </c>
      <c r="E5" s="102">
        <f>C5+(C5/100*16)</f>
        <v>1.19567</v>
      </c>
      <c r="F5" s="103">
        <f>C5+(C5/100*32)</f>
        <v>1.3605900000000002</v>
      </c>
      <c r="G5" s="104">
        <f>G4*B5</f>
        <v>0.61329624999999999</v>
      </c>
      <c r="H5" s="102">
        <f>G5+(G5/100*8)</f>
        <v>0.66235995000000003</v>
      </c>
      <c r="I5" s="102">
        <f>G5+(G5/100*16)</f>
        <v>0.71142364999999996</v>
      </c>
      <c r="J5" s="103">
        <f>G5+(G5/100*32)</f>
        <v>0.80955105000000005</v>
      </c>
      <c r="K5" s="104">
        <f>K4*B5</f>
        <v>0.57721999999999996</v>
      </c>
      <c r="L5" s="102">
        <f>K5+(K5/100*8)</f>
        <v>0.6233976</v>
      </c>
      <c r="M5" s="102">
        <f>K5+(K5/100*16)</f>
        <v>0.66957519999999993</v>
      </c>
      <c r="N5" s="103">
        <f>K5+(K5/100*32)</f>
        <v>0.76193040000000001</v>
      </c>
      <c r="O5" s="104">
        <f>O4*B5</f>
        <v>0.54629749999999999</v>
      </c>
      <c r="P5" s="102">
        <f>O5+(O5/100*8)</f>
        <v>0.59000129999999995</v>
      </c>
      <c r="Q5" s="102">
        <f>O5+(O5/100*16)</f>
        <v>0.63370510000000002</v>
      </c>
      <c r="R5" s="103">
        <f>O5+(O5/100*32)</f>
        <v>0.72111269999999994</v>
      </c>
      <c r="S5" s="104">
        <f>S4*B5</f>
        <v>0.51537500000000003</v>
      </c>
      <c r="T5" s="102">
        <f>S5+(S5/100*8)</f>
        <v>0.55660500000000002</v>
      </c>
      <c r="U5" s="102">
        <f>S5+(S5/100*16)</f>
        <v>0.59783500000000001</v>
      </c>
      <c r="V5" s="103">
        <f>S5+(S5/100*32)</f>
        <v>0.68029500000000009</v>
      </c>
      <c r="W5" s="105">
        <f>31*35*B5*0.95/10000</f>
        <v>2.5768749999999998</v>
      </c>
    </row>
    <row r="6" spans="1:23" ht="15.75" thickBot="1">
      <c r="A6" s="90"/>
      <c r="B6" s="106"/>
      <c r="C6" s="107">
        <f>40*40*0.95/10000000*C3</f>
        <v>6.0800000000000007E-2</v>
      </c>
      <c r="D6" s="108" t="s">
        <v>30</v>
      </c>
      <c r="E6" s="109"/>
      <c r="F6" s="110"/>
      <c r="G6" s="107">
        <f>40*40*0.95/10000000*G3</f>
        <v>3.6176E-2</v>
      </c>
      <c r="H6" s="108" t="s">
        <v>30</v>
      </c>
      <c r="I6" s="109"/>
      <c r="J6" s="110"/>
      <c r="K6" s="107">
        <f>40*40*0.95/10000000*K3</f>
        <v>3.4048000000000002E-2</v>
      </c>
      <c r="L6" s="108" t="s">
        <v>30</v>
      </c>
      <c r="M6" s="109"/>
      <c r="N6" s="110"/>
      <c r="O6" s="107">
        <f>40*40*0.95/10000000*O3</f>
        <v>3.2224000000000003E-2</v>
      </c>
      <c r="P6" s="108" t="s">
        <v>30</v>
      </c>
      <c r="Q6" s="109"/>
      <c r="R6" s="111"/>
      <c r="S6" s="107">
        <f>40*40*0.95/10000000*S3</f>
        <v>3.0400000000000003E-2</v>
      </c>
      <c r="T6" s="108" t="s">
        <v>30</v>
      </c>
      <c r="U6" s="112"/>
      <c r="V6" s="113"/>
      <c r="W6" s="114"/>
    </row>
    <row r="7" spans="1:23" ht="19.5" thickBot="1">
      <c r="A7" s="367" t="s">
        <v>32</v>
      </c>
      <c r="B7" s="115">
        <v>25</v>
      </c>
      <c r="C7" s="116">
        <f>C6*B7</f>
        <v>1.5200000000000002</v>
      </c>
      <c r="D7" s="117">
        <f>C7+(C7/100*8)</f>
        <v>1.6416000000000002</v>
      </c>
      <c r="E7" s="117">
        <f>C7+(C7/100*16)</f>
        <v>1.7632000000000003</v>
      </c>
      <c r="F7" s="118">
        <f>C7+(C7/100*32)</f>
        <v>2.0064000000000002</v>
      </c>
      <c r="G7" s="119">
        <f>G6*B7</f>
        <v>0.90439999999999998</v>
      </c>
      <c r="H7" s="117">
        <f>G7+(G7/100*8)</f>
        <v>0.97675199999999995</v>
      </c>
      <c r="I7" s="117">
        <f>G7+(G7/100*16)</f>
        <v>1.049104</v>
      </c>
      <c r="J7" s="118">
        <f>G7+(G7/100*32)</f>
        <v>1.193808</v>
      </c>
      <c r="K7" s="119">
        <f>K6*B7</f>
        <v>0.85120000000000007</v>
      </c>
      <c r="L7" s="117">
        <f>K7+(K7/100*8)</f>
        <v>0.91929600000000011</v>
      </c>
      <c r="M7" s="117">
        <f>K7+(K7/100*16)</f>
        <v>0.98739200000000005</v>
      </c>
      <c r="N7" s="118">
        <f>K7+(K7/100*32)</f>
        <v>1.1235840000000001</v>
      </c>
      <c r="O7" s="119">
        <f>O6*B7</f>
        <v>0.80560000000000009</v>
      </c>
      <c r="P7" s="117">
        <f>O7+(O7/100*8)</f>
        <v>0.87004800000000015</v>
      </c>
      <c r="Q7" s="117">
        <f>O7+(O7/100*16)</f>
        <v>0.9344960000000001</v>
      </c>
      <c r="R7" s="118">
        <f>O7+(O7/100*32)</f>
        <v>1.0633920000000001</v>
      </c>
      <c r="S7" s="119">
        <f>S6*B7</f>
        <v>0.76000000000000012</v>
      </c>
      <c r="T7" s="117">
        <f>S7+(S7/100*8)</f>
        <v>0.82080000000000009</v>
      </c>
      <c r="U7" s="117">
        <f>S7+(S7/100*16)</f>
        <v>0.88160000000000016</v>
      </c>
      <c r="V7" s="118">
        <f>S7+(S7/100*32)</f>
        <v>1.0032000000000001</v>
      </c>
      <c r="W7" s="105">
        <f>40*40*B7*0.95/10000</f>
        <v>3.8</v>
      </c>
    </row>
    <row r="8" spans="1:23" ht="19.5" thickBot="1">
      <c r="A8" s="368"/>
      <c r="B8" s="120">
        <v>30</v>
      </c>
      <c r="C8" s="104">
        <f>C6*B8</f>
        <v>1.8240000000000003</v>
      </c>
      <c r="D8" s="102">
        <f>C8+(C8/100*8)</f>
        <v>1.9699200000000003</v>
      </c>
      <c r="E8" s="102">
        <f>C8+(C8/100*16)</f>
        <v>2.1158400000000004</v>
      </c>
      <c r="F8" s="103">
        <f>C8+(C8/100*32)</f>
        <v>2.4076800000000005</v>
      </c>
      <c r="G8" s="104">
        <f>G6*B8</f>
        <v>1.08528</v>
      </c>
      <c r="H8" s="102">
        <f>G8+(G8/100*8)</f>
        <v>1.1721024</v>
      </c>
      <c r="I8" s="102">
        <f>G8+(G8/100*16)</f>
        <v>1.2589248</v>
      </c>
      <c r="J8" s="103">
        <f>G8+(G8/100*32)</f>
        <v>1.4325696000000001</v>
      </c>
      <c r="K8" s="104">
        <f>K6*B8</f>
        <v>1.0214400000000001</v>
      </c>
      <c r="L8" s="102">
        <f>K8+(K8/100*8)</f>
        <v>1.1031552000000002</v>
      </c>
      <c r="M8" s="102">
        <f>K8+(K8/100*16)</f>
        <v>1.1848704000000001</v>
      </c>
      <c r="N8" s="103">
        <f>K8+(K8/100*32)</f>
        <v>1.3483008000000001</v>
      </c>
      <c r="O8" s="104">
        <f>O6*B8</f>
        <v>0.96672000000000002</v>
      </c>
      <c r="P8" s="102">
        <f>O8+(O8/100*8)</f>
        <v>1.0440575999999999</v>
      </c>
      <c r="Q8" s="102">
        <f>O8+(O8/100*16)</f>
        <v>1.1213952</v>
      </c>
      <c r="R8" s="103">
        <f>O8+(O8/100*32)</f>
        <v>1.2760704</v>
      </c>
      <c r="S8" s="104">
        <f>S6*B8</f>
        <v>0.91200000000000014</v>
      </c>
      <c r="T8" s="102">
        <f>S8+(S8/100*8)</f>
        <v>0.98496000000000017</v>
      </c>
      <c r="U8" s="102">
        <f>S8+(S8/100*16)</f>
        <v>1.0579200000000002</v>
      </c>
      <c r="V8" s="103">
        <f>S8+(S8/100*32)</f>
        <v>1.2038400000000002</v>
      </c>
      <c r="W8" s="105">
        <f>40*40*B8*0.95/10000</f>
        <v>4.5599999999999996</v>
      </c>
    </row>
    <row r="9" spans="1:23" ht="15.75" thickBot="1">
      <c r="A9" s="90"/>
      <c r="B9" s="106"/>
      <c r="C9" s="121">
        <f>43*50*0.95/10000000*C3</f>
        <v>8.1699999999999995E-2</v>
      </c>
      <c r="D9" s="122" t="s">
        <v>30</v>
      </c>
      <c r="E9" s="123"/>
      <c r="F9" s="124"/>
      <c r="G9" s="125">
        <f>43*50*0.95/10000000*G3</f>
        <v>4.8611500000000002E-2</v>
      </c>
      <c r="H9" s="122" t="s">
        <v>30</v>
      </c>
      <c r="I9" s="123"/>
      <c r="J9" s="124"/>
      <c r="K9" s="125">
        <f>43*50*0.95/10000000*K3</f>
        <v>4.5752000000000001E-2</v>
      </c>
      <c r="L9" s="122" t="s">
        <v>30</v>
      </c>
      <c r="M9" s="123"/>
      <c r="N9" s="124"/>
      <c r="O9" s="125">
        <f>43*50*0.95/10000000*O3</f>
        <v>4.3300999999999999E-2</v>
      </c>
      <c r="P9" s="122" t="s">
        <v>30</v>
      </c>
      <c r="Q9" s="123"/>
      <c r="R9" s="124"/>
      <c r="S9" s="125">
        <f>43*50*0.95/10000000*S3</f>
        <v>4.0849999999999997E-2</v>
      </c>
      <c r="T9" s="122" t="s">
        <v>30</v>
      </c>
      <c r="U9" s="126"/>
      <c r="V9" s="127"/>
      <c r="W9" s="105"/>
    </row>
    <row r="10" spans="1:23" ht="19.5" thickBot="1">
      <c r="A10" s="367" t="s">
        <v>33</v>
      </c>
      <c r="B10" s="128">
        <v>22</v>
      </c>
      <c r="C10" s="129">
        <f>C9*B10</f>
        <v>1.7973999999999999</v>
      </c>
      <c r="D10" s="130">
        <f>C10+(C10/100*8)</f>
        <v>1.9411919999999998</v>
      </c>
      <c r="E10" s="130">
        <f>C10+(C10/100*16)</f>
        <v>2.0849839999999999</v>
      </c>
      <c r="F10" s="131">
        <f>C10+(C10/100*32)</f>
        <v>2.3725679999999998</v>
      </c>
      <c r="G10" s="132">
        <f>G9*B10</f>
        <v>1.069453</v>
      </c>
      <c r="H10" s="130">
        <f>G10+(G10/100*8)</f>
        <v>1.15500924</v>
      </c>
      <c r="I10" s="130">
        <f>G10+(G10/100*16)</f>
        <v>1.2405654799999999</v>
      </c>
      <c r="J10" s="131">
        <f>G10+(G10/100*32)</f>
        <v>1.41167796</v>
      </c>
      <c r="K10" s="132">
        <f>K9*B10</f>
        <v>1.0065440000000001</v>
      </c>
      <c r="L10" s="130">
        <f>K10+(K10/100*8)</f>
        <v>1.0870675200000002</v>
      </c>
      <c r="M10" s="130">
        <f>K10+(K10/100*16)</f>
        <v>1.16759104</v>
      </c>
      <c r="N10" s="131">
        <f>K10+(K10/100*32)</f>
        <v>1.3286380800000002</v>
      </c>
      <c r="O10" s="132">
        <f>O9*B10</f>
        <v>0.95262199999999997</v>
      </c>
      <c r="P10" s="130">
        <f>O10+(O10/100*8)</f>
        <v>1.0288317599999999</v>
      </c>
      <c r="Q10" s="130">
        <f>O10+(O10/100*16)</f>
        <v>1.1050415199999999</v>
      </c>
      <c r="R10" s="131">
        <f>O10+(O10/100*32)</f>
        <v>1.2574610399999999</v>
      </c>
      <c r="S10" s="132">
        <f>S9*B10</f>
        <v>0.89869999999999994</v>
      </c>
      <c r="T10" s="130">
        <f>S10+(S10/100*8)</f>
        <v>0.9705959999999999</v>
      </c>
      <c r="U10" s="130">
        <f>S10+(S10/100*16)</f>
        <v>1.042492</v>
      </c>
      <c r="V10" s="131">
        <f>S10+(S10/100*32)</f>
        <v>1.1862839999999999</v>
      </c>
      <c r="W10" s="105">
        <f>44*50*B10*0.95/10000</f>
        <v>4.5979999999999999</v>
      </c>
    </row>
    <row r="11" spans="1:23" ht="19.5" thickBot="1">
      <c r="A11" s="369"/>
      <c r="B11" s="115">
        <v>25</v>
      </c>
      <c r="C11" s="116">
        <f>C9*B11</f>
        <v>2.0425</v>
      </c>
      <c r="D11" s="117">
        <f>C11+(C11/100*8)</f>
        <v>2.2058999999999997</v>
      </c>
      <c r="E11" s="117">
        <f>C11+(C11/100*16)</f>
        <v>2.3693</v>
      </c>
      <c r="F11" s="118">
        <f>C11+(C11/100*32)</f>
        <v>2.6960999999999999</v>
      </c>
      <c r="G11" s="119">
        <f>G9*B11</f>
        <v>1.2152875000000001</v>
      </c>
      <c r="H11" s="117">
        <f>G11+(G11/100*8)</f>
        <v>1.3125105000000001</v>
      </c>
      <c r="I11" s="117">
        <f>G11+(G11/100*16)</f>
        <v>1.4097335000000002</v>
      </c>
      <c r="J11" s="118">
        <f>G11+(G11/100*32)</f>
        <v>1.6041795000000001</v>
      </c>
      <c r="K11" s="119">
        <f>K9*B11</f>
        <v>1.1437999999999999</v>
      </c>
      <c r="L11" s="117">
        <f>K11+(K11/100*8)</f>
        <v>1.235304</v>
      </c>
      <c r="M11" s="117">
        <f>K11+(K11/100*16)</f>
        <v>1.326808</v>
      </c>
      <c r="N11" s="118">
        <f>K11+(K11/100*32)</f>
        <v>1.5098159999999998</v>
      </c>
      <c r="O11" s="119">
        <f>O9*B11</f>
        <v>1.082525</v>
      </c>
      <c r="P11" s="117">
        <f>O11+(O11/100*8)</f>
        <v>1.169127</v>
      </c>
      <c r="Q11" s="117">
        <f>O11+(O11/100*16)</f>
        <v>1.2557289999999999</v>
      </c>
      <c r="R11" s="118">
        <f>O11+(O11/100*32)</f>
        <v>1.428933</v>
      </c>
      <c r="S11" s="119">
        <f>S9*B11</f>
        <v>1.02125</v>
      </c>
      <c r="T11" s="117">
        <f>S11+(S11/100*8)</f>
        <v>1.1029499999999999</v>
      </c>
      <c r="U11" s="117">
        <f>S11+(S11/100*16)</f>
        <v>1.18465</v>
      </c>
      <c r="V11" s="118">
        <f>S11+(S11/100*32)</f>
        <v>1.34805</v>
      </c>
      <c r="W11" s="105">
        <f>44*50*B11*0.95/10000</f>
        <v>5.2249999999999996</v>
      </c>
    </row>
    <row r="12" spans="1:23" ht="19.5" thickBot="1">
      <c r="A12" s="368"/>
      <c r="B12" s="120">
        <v>30</v>
      </c>
      <c r="C12" s="104">
        <f>C9*B12</f>
        <v>2.4509999999999996</v>
      </c>
      <c r="D12" s="102">
        <f>C12+(C12/100*8)</f>
        <v>2.6470799999999994</v>
      </c>
      <c r="E12" s="102">
        <f>C12+(C12/100*16)</f>
        <v>2.8431599999999997</v>
      </c>
      <c r="F12" s="103">
        <f>C12+(C12/100*32)</f>
        <v>3.2353199999999998</v>
      </c>
      <c r="G12" s="104">
        <f>G9*B12</f>
        <v>1.458345</v>
      </c>
      <c r="H12" s="102">
        <f>G12+(G12/100*8)</f>
        <v>1.5750126</v>
      </c>
      <c r="I12" s="102">
        <f>G12+(G12/100*16)</f>
        <v>1.6916802</v>
      </c>
      <c r="J12" s="103">
        <f>G12+(G12/100*32)</f>
        <v>1.9250153999999999</v>
      </c>
      <c r="K12" s="104">
        <f>K9*B12</f>
        <v>1.37256</v>
      </c>
      <c r="L12" s="102">
        <f>K12+(K12/100*8)</f>
        <v>1.4823648</v>
      </c>
      <c r="M12" s="102">
        <f>K12+(K12/100*16)</f>
        <v>1.5921696000000001</v>
      </c>
      <c r="N12" s="103">
        <f>K12+(K12/100*32)</f>
        <v>1.8117791999999999</v>
      </c>
      <c r="O12" s="104">
        <f>O9*B12</f>
        <v>1.2990299999999999</v>
      </c>
      <c r="P12" s="102">
        <f>O12+(O12/100*8)</f>
        <v>1.4029524</v>
      </c>
      <c r="Q12" s="102">
        <f>O12+(O12/100*16)</f>
        <v>1.5068747999999998</v>
      </c>
      <c r="R12" s="103">
        <f>O12+(O12/100*32)</f>
        <v>1.7147196</v>
      </c>
      <c r="S12" s="104">
        <f>S9*B12</f>
        <v>1.2254999999999998</v>
      </c>
      <c r="T12" s="102">
        <f>S12+(S12/100*8)</f>
        <v>1.3235399999999997</v>
      </c>
      <c r="U12" s="102">
        <f>S12+(S12/100*16)</f>
        <v>1.4215799999999998</v>
      </c>
      <c r="V12" s="103">
        <f>S12+(S12/100*32)</f>
        <v>1.6176599999999999</v>
      </c>
      <c r="W12" s="105">
        <f>44*50*B12*0.95/10000</f>
        <v>6.27</v>
      </c>
    </row>
    <row r="13" spans="1:23" ht="15.75" thickBot="1">
      <c r="A13" s="90"/>
      <c r="B13" s="106"/>
      <c r="C13" s="125">
        <f>45*50*0.95/10000000*C3</f>
        <v>8.5499999999999993E-2</v>
      </c>
      <c r="D13" s="122" t="s">
        <v>30</v>
      </c>
      <c r="E13" s="123"/>
      <c r="F13" s="124"/>
      <c r="G13" s="125">
        <f>45*50*0.95/10000000*G3</f>
        <v>5.0872500000000001E-2</v>
      </c>
      <c r="H13" s="122" t="s">
        <v>30</v>
      </c>
      <c r="I13" s="123"/>
      <c r="J13" s="124"/>
      <c r="K13" s="125">
        <f>45*50*0.95/10000000*K3</f>
        <v>4.7879999999999999E-2</v>
      </c>
      <c r="L13" s="122" t="s">
        <v>30</v>
      </c>
      <c r="M13" s="123"/>
      <c r="N13" s="124"/>
      <c r="O13" s="125">
        <f>45*50*0.95/10000000*O3</f>
        <v>4.5315000000000001E-2</v>
      </c>
      <c r="P13" s="122" t="s">
        <v>30</v>
      </c>
      <c r="Q13" s="123"/>
      <c r="R13" s="124"/>
      <c r="S13" s="125">
        <f>45*50*0.95/10000000*S3</f>
        <v>4.2749999999999996E-2</v>
      </c>
      <c r="T13" s="122" t="s">
        <v>30</v>
      </c>
      <c r="U13" s="126"/>
      <c r="V13" s="127"/>
      <c r="W13" s="105"/>
    </row>
    <row r="14" spans="1:23" ht="19.5" thickBot="1">
      <c r="A14" s="367" t="s">
        <v>34</v>
      </c>
      <c r="B14" s="128">
        <v>22</v>
      </c>
      <c r="C14" s="129">
        <f>C13*B14</f>
        <v>1.8809999999999998</v>
      </c>
      <c r="D14" s="130">
        <f>C14+(C14/100*8)</f>
        <v>2.0314799999999997</v>
      </c>
      <c r="E14" s="130">
        <f>C14+(C14/100*16)</f>
        <v>2.1819599999999997</v>
      </c>
      <c r="F14" s="131">
        <f>C14+(C14/100*32)</f>
        <v>2.4829199999999996</v>
      </c>
      <c r="G14" s="132">
        <f>G13*B14</f>
        <v>1.1191949999999999</v>
      </c>
      <c r="H14" s="130">
        <f>G14+(G14/100*8)</f>
        <v>1.2087306</v>
      </c>
      <c r="I14" s="130">
        <f>G14+(G14/100*16)</f>
        <v>1.2982662</v>
      </c>
      <c r="J14" s="131">
        <f>G14+(G14/100*32)</f>
        <v>1.4773373999999999</v>
      </c>
      <c r="K14" s="132">
        <f>K13*B14</f>
        <v>1.0533600000000001</v>
      </c>
      <c r="L14" s="130">
        <f>K14+(K14/100*8)</f>
        <v>1.1376288000000001</v>
      </c>
      <c r="M14" s="130">
        <f>K14+(K14/100*16)</f>
        <v>1.2218976000000001</v>
      </c>
      <c r="N14" s="131">
        <f>K14+(K14/100*32)</f>
        <v>1.3904352000000002</v>
      </c>
      <c r="O14" s="132">
        <f>O13*B14</f>
        <v>0.99692999999999998</v>
      </c>
      <c r="P14" s="130">
        <f>O14+(O14/100*8)</f>
        <v>1.0766844</v>
      </c>
      <c r="Q14" s="130">
        <f>O14+(O14/100*16)</f>
        <v>1.1564388000000001</v>
      </c>
      <c r="R14" s="131">
        <f>O14+(O14/100*32)</f>
        <v>1.3159475999999999</v>
      </c>
      <c r="S14" s="132">
        <f>S13*B14</f>
        <v>0.94049999999999989</v>
      </c>
      <c r="T14" s="130">
        <f>S14+(S14/100*8)</f>
        <v>1.0157399999999999</v>
      </c>
      <c r="U14" s="130">
        <f>S14+(S14/100*16)</f>
        <v>1.0909799999999998</v>
      </c>
      <c r="V14" s="131">
        <f>S14+(S14/100*32)</f>
        <v>1.2414599999999998</v>
      </c>
      <c r="W14" s="105">
        <f>46*50*B14*0.95/10000</f>
        <v>4.8070000000000004</v>
      </c>
    </row>
    <row r="15" spans="1:23" ht="19.5" thickBot="1">
      <c r="A15" s="369"/>
      <c r="B15" s="115">
        <v>25</v>
      </c>
      <c r="C15" s="116">
        <f>C13*B15</f>
        <v>2.1374999999999997</v>
      </c>
      <c r="D15" s="117">
        <f>C15+(C15/100*8)</f>
        <v>2.3084999999999996</v>
      </c>
      <c r="E15" s="117">
        <f>C15+(C15/100*16)</f>
        <v>2.4794999999999998</v>
      </c>
      <c r="F15" s="118">
        <f>C15+(C15/100*32)</f>
        <v>2.8214999999999995</v>
      </c>
      <c r="G15" s="119">
        <f>G13*B15</f>
        <v>1.2718125</v>
      </c>
      <c r="H15" s="117">
        <f>G15+(G15/100*8)</f>
        <v>1.3735575</v>
      </c>
      <c r="I15" s="117">
        <f>G15+(G15/100*16)</f>
        <v>1.4753025</v>
      </c>
      <c r="J15" s="118">
        <f>G15+(G15/100*32)</f>
        <v>1.6787925000000001</v>
      </c>
      <c r="K15" s="119">
        <f>K13*B15</f>
        <v>1.1970000000000001</v>
      </c>
      <c r="L15" s="117">
        <f>K15+(K15/100*8)</f>
        <v>1.2927600000000001</v>
      </c>
      <c r="M15" s="117">
        <f>K15+(K15/100*16)</f>
        <v>1.3885200000000002</v>
      </c>
      <c r="N15" s="118">
        <f>K15+(K15/100*32)</f>
        <v>1.5800400000000001</v>
      </c>
      <c r="O15" s="119">
        <f>O13*B15</f>
        <v>1.1328750000000001</v>
      </c>
      <c r="P15" s="117">
        <f>O15+(O15/100*8)</f>
        <v>1.2235050000000001</v>
      </c>
      <c r="Q15" s="117">
        <f>O15+(O15/100*16)</f>
        <v>1.3141350000000001</v>
      </c>
      <c r="R15" s="118">
        <f>O15+(O15/100*32)</f>
        <v>1.495395</v>
      </c>
      <c r="S15" s="119">
        <f>S13*B15</f>
        <v>1.0687499999999999</v>
      </c>
      <c r="T15" s="117">
        <f>S15+(S15/100*8)</f>
        <v>1.1542499999999998</v>
      </c>
      <c r="U15" s="117">
        <f>S15+(S15/100*16)</f>
        <v>1.2397499999999999</v>
      </c>
      <c r="V15" s="118">
        <f>S15+(S15/100*32)</f>
        <v>1.4107499999999997</v>
      </c>
      <c r="W15" s="105">
        <f>46*50*B15*0.95/10000</f>
        <v>5.4625000000000004</v>
      </c>
    </row>
    <row r="16" spans="1:23" ht="19.5" thickBot="1">
      <c r="A16" s="368"/>
      <c r="B16" s="120">
        <v>30</v>
      </c>
      <c r="C16" s="104">
        <f>C13*B16</f>
        <v>2.5649999999999999</v>
      </c>
      <c r="D16" s="102">
        <f>C16+(C16/100*8)</f>
        <v>2.7702</v>
      </c>
      <c r="E16" s="102">
        <f>C16+(C16/100*16)</f>
        <v>2.9754</v>
      </c>
      <c r="F16" s="103">
        <f>C16+(C16/100*32)</f>
        <v>3.3857999999999997</v>
      </c>
      <c r="G16" s="104">
        <f>G13*B16</f>
        <v>1.5261750000000001</v>
      </c>
      <c r="H16" s="102">
        <f>G16+(G16/100*8)</f>
        <v>1.648269</v>
      </c>
      <c r="I16" s="102">
        <f>G16+(G16/100*16)</f>
        <v>1.7703630000000001</v>
      </c>
      <c r="J16" s="103">
        <f>G16+(G16/100*32)</f>
        <v>2.014551</v>
      </c>
      <c r="K16" s="104">
        <f>K13*B16</f>
        <v>1.4363999999999999</v>
      </c>
      <c r="L16" s="102">
        <f>K16+(K16/100*8)</f>
        <v>1.5513119999999998</v>
      </c>
      <c r="M16" s="102">
        <f>K16+(K16/100*16)</f>
        <v>1.6662239999999999</v>
      </c>
      <c r="N16" s="103">
        <f>K16+(K16/100*32)</f>
        <v>1.896048</v>
      </c>
      <c r="O16" s="104">
        <f>O13*B16</f>
        <v>1.35945</v>
      </c>
      <c r="P16" s="102">
        <f>O16+(O16/100*8)</f>
        <v>1.4682060000000001</v>
      </c>
      <c r="Q16" s="102">
        <f>O16+(O16/100*16)</f>
        <v>1.576962</v>
      </c>
      <c r="R16" s="103">
        <f>O16+(O16/100*32)</f>
        <v>1.7944740000000001</v>
      </c>
      <c r="S16" s="104">
        <f>S13*B16</f>
        <v>1.2825</v>
      </c>
      <c r="T16" s="102">
        <f>S16+(S16/100*8)</f>
        <v>1.3851</v>
      </c>
      <c r="U16" s="102">
        <f>S16+(S16/100*16)</f>
        <v>1.4877</v>
      </c>
      <c r="V16" s="103">
        <f>S16+(S16/100*32)</f>
        <v>1.6928999999999998</v>
      </c>
      <c r="W16" s="105">
        <f>46*50*B16*0.95/10000</f>
        <v>6.5549999999999997</v>
      </c>
    </row>
    <row r="17" spans="1:23" ht="15.75" thickBot="1">
      <c r="A17" s="90"/>
      <c r="B17" s="106"/>
      <c r="C17" s="125">
        <f>49*55*0.95/10000000*C3</f>
        <v>0.10241</v>
      </c>
      <c r="D17" s="122" t="s">
        <v>30</v>
      </c>
      <c r="E17" s="123"/>
      <c r="F17" s="124"/>
      <c r="G17" s="125">
        <f>49*55*0.95/10000000*G3</f>
        <v>6.0933950000000001E-2</v>
      </c>
      <c r="H17" s="122" t="s">
        <v>30</v>
      </c>
      <c r="I17" s="123"/>
      <c r="J17" s="124"/>
      <c r="K17" s="125">
        <f>49*55*0.95/10000000*K3</f>
        <v>5.7349600000000001E-2</v>
      </c>
      <c r="L17" s="122" t="s">
        <v>30</v>
      </c>
      <c r="M17" s="123"/>
      <c r="N17" s="124"/>
      <c r="O17" s="125">
        <f>49*55*0.95/10000000*O3</f>
        <v>5.4277300000000001E-2</v>
      </c>
      <c r="P17" s="122" t="s">
        <v>30</v>
      </c>
      <c r="Q17" s="123"/>
      <c r="R17" s="124"/>
      <c r="S17" s="125">
        <f>49*55*0.95/10000000*S3</f>
        <v>5.1205000000000001E-2</v>
      </c>
      <c r="T17" s="122" t="s">
        <v>30</v>
      </c>
      <c r="U17" s="126"/>
      <c r="V17" s="127"/>
      <c r="W17" s="105"/>
    </row>
    <row r="18" spans="1:23" ht="19.5" thickBot="1">
      <c r="A18" s="367" t="s">
        <v>35</v>
      </c>
      <c r="B18" s="128">
        <v>25</v>
      </c>
      <c r="C18" s="129">
        <f>C17*B18</f>
        <v>2.5602499999999999</v>
      </c>
      <c r="D18" s="130">
        <f>C18+(C18/100*8)</f>
        <v>2.7650699999999997</v>
      </c>
      <c r="E18" s="130">
        <f>C18+(C18/100*16)</f>
        <v>2.9698899999999999</v>
      </c>
      <c r="F18" s="131">
        <f>C18+(C18/100*32)</f>
        <v>3.3795299999999999</v>
      </c>
      <c r="G18" s="132">
        <f>G17*B18</f>
        <v>1.52334875</v>
      </c>
      <c r="H18" s="130">
        <f>G18+(G18/100*8)</f>
        <v>1.6452166500000001</v>
      </c>
      <c r="I18" s="130">
        <f>G18+(G18/100*16)</f>
        <v>1.7670845500000001</v>
      </c>
      <c r="J18" s="131">
        <f>G18+(G18/100*32)</f>
        <v>2.0108203499999999</v>
      </c>
      <c r="K18" s="132">
        <f>K17*B18</f>
        <v>1.43374</v>
      </c>
      <c r="L18" s="130">
        <f>K18+(K18/100*8)</f>
        <v>1.5484392</v>
      </c>
      <c r="M18" s="130">
        <f>K18+(K18/100*16)</f>
        <v>1.6631384</v>
      </c>
      <c r="N18" s="131">
        <f>K18+(K18/100*32)</f>
        <v>1.8925368</v>
      </c>
      <c r="O18" s="132">
        <f>O17*B18</f>
        <v>1.3569325000000001</v>
      </c>
      <c r="P18" s="130">
        <f>O18+(O18/100*8)</f>
        <v>1.4654871</v>
      </c>
      <c r="Q18" s="130">
        <f>O18+(O18/100*16)</f>
        <v>1.5740417</v>
      </c>
      <c r="R18" s="131">
        <f>O18+(O18/100*32)</f>
        <v>1.7911509000000001</v>
      </c>
      <c r="S18" s="132">
        <f>S17*B18</f>
        <v>1.280125</v>
      </c>
      <c r="T18" s="130">
        <f>S18+(S18/100*8)</f>
        <v>1.3825349999999998</v>
      </c>
      <c r="U18" s="130">
        <f>S18+(S18/100*16)</f>
        <v>1.484945</v>
      </c>
      <c r="V18" s="131">
        <f>S18+(S18/100*32)</f>
        <v>1.689765</v>
      </c>
      <c r="W18" s="105">
        <f>49*55*B18*0.95/10000</f>
        <v>6.4006249999999998</v>
      </c>
    </row>
    <row r="19" spans="1:23" ht="19.5" thickBot="1">
      <c r="A19" s="369"/>
      <c r="B19" s="115">
        <v>30</v>
      </c>
      <c r="C19" s="116">
        <f>C17*B19</f>
        <v>3.0723000000000003</v>
      </c>
      <c r="D19" s="117">
        <f>C19+(C19/100*8)</f>
        <v>3.3180840000000003</v>
      </c>
      <c r="E19" s="117">
        <f>C19+(C19/100*16)</f>
        <v>3.5638680000000003</v>
      </c>
      <c r="F19" s="118">
        <f>C19+(C19/100*32)</f>
        <v>4.0554360000000003</v>
      </c>
      <c r="G19" s="119">
        <f>G17*B19</f>
        <v>1.8280185</v>
      </c>
      <c r="H19" s="117">
        <f>G19+(G19/100*8)</f>
        <v>1.97425998</v>
      </c>
      <c r="I19" s="117">
        <f>G19+(G19/100*16)</f>
        <v>2.1205014599999998</v>
      </c>
      <c r="J19" s="118">
        <f>G19+(G19/100*32)</f>
        <v>2.4129844199999999</v>
      </c>
      <c r="K19" s="119">
        <f>K17*B19</f>
        <v>1.720488</v>
      </c>
      <c r="L19" s="117">
        <f>K19+(K19/100*8)</f>
        <v>1.8581270400000001</v>
      </c>
      <c r="M19" s="117">
        <f>K19+(K19/100*16)</f>
        <v>1.9957660800000001</v>
      </c>
      <c r="N19" s="118">
        <f>K19+(K19/100*32)</f>
        <v>2.2710441599999998</v>
      </c>
      <c r="O19" s="119">
        <f>O17*B19</f>
        <v>1.6283190000000001</v>
      </c>
      <c r="P19" s="117">
        <f>O19+(O19/100*8)</f>
        <v>1.7585845200000001</v>
      </c>
      <c r="Q19" s="117">
        <f>O19+(O19/100*16)</f>
        <v>1.8888500400000001</v>
      </c>
      <c r="R19" s="118">
        <f>O19+(O19/100*32)</f>
        <v>2.1493810799999999</v>
      </c>
      <c r="S19" s="119">
        <f>S17*B19</f>
        <v>1.5361500000000001</v>
      </c>
      <c r="T19" s="117">
        <f>S19+(S19/100*8)</f>
        <v>1.6590420000000001</v>
      </c>
      <c r="U19" s="117">
        <f>S19+(S19/100*16)</f>
        <v>1.7819340000000001</v>
      </c>
      <c r="V19" s="118">
        <f>S19+(S19/100*32)</f>
        <v>2.0277180000000001</v>
      </c>
      <c r="W19" s="105">
        <f>49*55*B19*0.95/10000</f>
        <v>7.6807499999999997</v>
      </c>
    </row>
    <row r="20" spans="1:23" ht="19.5" thickBot="1">
      <c r="A20" s="368"/>
      <c r="B20" s="120">
        <v>35</v>
      </c>
      <c r="C20" s="104">
        <f>C17*B20</f>
        <v>3.5843500000000001</v>
      </c>
      <c r="D20" s="102">
        <f>C20+(C20/100*8)</f>
        <v>3.8710979999999999</v>
      </c>
      <c r="E20" s="102">
        <f>C20+(C20/100*16)</f>
        <v>4.1578460000000002</v>
      </c>
      <c r="F20" s="103">
        <f>C20+(C20/100*32)</f>
        <v>4.7313419999999997</v>
      </c>
      <c r="G20" s="104">
        <f>G17*B20</f>
        <v>2.1326882500000002</v>
      </c>
      <c r="H20" s="102">
        <f>G20+(G20/100*8)</f>
        <v>2.30330331</v>
      </c>
      <c r="I20" s="102">
        <f>G20+(G20/100*16)</f>
        <v>2.4739183700000003</v>
      </c>
      <c r="J20" s="103">
        <f>G20+(G20/100*32)</f>
        <v>2.8151484900000003</v>
      </c>
      <c r="K20" s="104">
        <f>K17*B20</f>
        <v>2.0072359999999998</v>
      </c>
      <c r="L20" s="102">
        <f>K20+(K20/100*8)</f>
        <v>2.1678148799999999</v>
      </c>
      <c r="M20" s="102">
        <f>K20+(K20/100*16)</f>
        <v>2.32839376</v>
      </c>
      <c r="N20" s="103">
        <f>K20+(K20/100*32)</f>
        <v>2.6495515199999997</v>
      </c>
      <c r="O20" s="104">
        <f>O17*B20</f>
        <v>1.8997055</v>
      </c>
      <c r="P20" s="102">
        <f>O20+(O20/100*8)</f>
        <v>2.0516819399999999</v>
      </c>
      <c r="Q20" s="102">
        <f>O20+(O20/100*16)</f>
        <v>2.2036583800000002</v>
      </c>
      <c r="R20" s="103">
        <f>O20+(O20/100*32)</f>
        <v>2.50761126</v>
      </c>
      <c r="S20" s="104">
        <f>S17*B20</f>
        <v>1.7921750000000001</v>
      </c>
      <c r="T20" s="102">
        <f>S20+(S20/100*8)</f>
        <v>1.935549</v>
      </c>
      <c r="U20" s="102">
        <f>S20+(S20/100*16)</f>
        <v>2.0789230000000001</v>
      </c>
      <c r="V20" s="103">
        <f>S20+(S20/100*32)</f>
        <v>2.3656709999999999</v>
      </c>
      <c r="W20" s="105">
        <f>49*55*B20*0.95/10000</f>
        <v>8.9608749999999997</v>
      </c>
    </row>
    <row r="21" spans="1:23" ht="15.75" thickBot="1">
      <c r="A21" s="90"/>
      <c r="B21" s="106"/>
      <c r="C21" s="125">
        <f>53*55*0.95/10000000*C3</f>
        <v>0.11077000000000001</v>
      </c>
      <c r="D21" s="122" t="s">
        <v>30</v>
      </c>
      <c r="E21" s="123"/>
      <c r="F21" s="124"/>
      <c r="G21" s="125">
        <f>53*55*0.95/10000000*G3</f>
        <v>6.5908149999999999E-2</v>
      </c>
      <c r="H21" s="122" t="s">
        <v>30</v>
      </c>
      <c r="I21" s="123"/>
      <c r="J21" s="124"/>
      <c r="K21" s="125">
        <f>53*55*0.95/10000000*K3</f>
        <v>6.2031200000000009E-2</v>
      </c>
      <c r="L21" s="122" t="s">
        <v>30</v>
      </c>
      <c r="M21" s="123"/>
      <c r="N21" s="124"/>
      <c r="O21" s="125">
        <f>53*55*0.95/10000000*O3</f>
        <v>5.8708100000000006E-2</v>
      </c>
      <c r="P21" s="122" t="s">
        <v>30</v>
      </c>
      <c r="Q21" s="123"/>
      <c r="R21" s="124"/>
      <c r="S21" s="125">
        <f>53*55*0.95/10000000*S3</f>
        <v>5.5385000000000004E-2</v>
      </c>
      <c r="T21" s="122" t="s">
        <v>30</v>
      </c>
      <c r="U21" s="126"/>
      <c r="V21" s="127"/>
      <c r="W21" s="105"/>
    </row>
    <row r="22" spans="1:23" ht="19.5" thickBot="1">
      <c r="A22" s="367" t="s">
        <v>36</v>
      </c>
      <c r="B22" s="128">
        <v>30</v>
      </c>
      <c r="C22" s="129">
        <f>C21*B22</f>
        <v>3.3231000000000002</v>
      </c>
      <c r="D22" s="130">
        <f>C22+(C22/100*8)</f>
        <v>3.5889480000000002</v>
      </c>
      <c r="E22" s="130">
        <f>C22+(C22/100*16)</f>
        <v>3.8547960000000003</v>
      </c>
      <c r="F22" s="131">
        <f>C22+(C22/100*32)</f>
        <v>4.3864920000000005</v>
      </c>
      <c r="G22" s="132">
        <f>G21*B22</f>
        <v>1.9772444999999998</v>
      </c>
      <c r="H22" s="130">
        <f>G22+(G22/100*8)</f>
        <v>2.1354240600000001</v>
      </c>
      <c r="I22" s="130">
        <f>G22+(G22/100*16)</f>
        <v>2.2936036199999998</v>
      </c>
      <c r="J22" s="131">
        <f>G22+(G22/100*32)</f>
        <v>2.6099627399999998</v>
      </c>
      <c r="K22" s="132">
        <f>K21*B22</f>
        <v>1.8609360000000001</v>
      </c>
      <c r="L22" s="130">
        <f>K22+(K22/100*8)</f>
        <v>2.0098108800000003</v>
      </c>
      <c r="M22" s="130">
        <f>K22+(K22/100*16)</f>
        <v>2.15868576</v>
      </c>
      <c r="N22" s="131">
        <f>K22+(K22/100*32)</f>
        <v>2.4564355200000003</v>
      </c>
      <c r="O22" s="132">
        <f>O21*B22</f>
        <v>1.7612430000000001</v>
      </c>
      <c r="P22" s="130">
        <f>O22+(O22/100*8)</f>
        <v>1.9021424400000002</v>
      </c>
      <c r="Q22" s="130">
        <f>O22+(O22/100*16)</f>
        <v>2.0430418800000001</v>
      </c>
      <c r="R22" s="131">
        <f>O22+(O22/100*32)</f>
        <v>2.3248407600000003</v>
      </c>
      <c r="S22" s="132">
        <f>S21*B22</f>
        <v>1.6615500000000001</v>
      </c>
      <c r="T22" s="130">
        <f>S22+(S22/100*8)</f>
        <v>1.7944740000000001</v>
      </c>
      <c r="U22" s="130">
        <f>S22+(S22/100*16)</f>
        <v>1.9273980000000002</v>
      </c>
      <c r="V22" s="131">
        <f>S22+(S22/100*32)</f>
        <v>2.1932460000000003</v>
      </c>
      <c r="W22" s="105">
        <f>54*55*B22*0.95/10000</f>
        <v>8.4644999999999992</v>
      </c>
    </row>
    <row r="23" spans="1:23" ht="19.5" thickBot="1">
      <c r="A23" s="369"/>
      <c r="B23" s="115">
        <v>35</v>
      </c>
      <c r="C23" s="116">
        <f>C21*B23</f>
        <v>3.8769500000000003</v>
      </c>
      <c r="D23" s="117">
        <f>C23+(C23/100*8)</f>
        <v>4.187106</v>
      </c>
      <c r="E23" s="117">
        <f>C23+(C23/100*16)</f>
        <v>4.4972620000000001</v>
      </c>
      <c r="F23" s="118">
        <f>C23+(C23/100*32)</f>
        <v>5.1175740000000003</v>
      </c>
      <c r="G23" s="119">
        <f>G21*B23</f>
        <v>2.3067852499999999</v>
      </c>
      <c r="H23" s="117">
        <f>G23+(G23/100*8)</f>
        <v>2.4913280699999998</v>
      </c>
      <c r="I23" s="117">
        <f>G23+(G23/100*16)</f>
        <v>2.6758708899999997</v>
      </c>
      <c r="J23" s="118">
        <f>G23+(G23/100*32)</f>
        <v>3.0449565299999999</v>
      </c>
      <c r="K23" s="119">
        <f>K21*B23</f>
        <v>2.1710920000000002</v>
      </c>
      <c r="L23" s="117">
        <f>K23+(K23/100*8)</f>
        <v>2.3447793600000004</v>
      </c>
      <c r="M23" s="117">
        <f>K23+(K23/100*16)</f>
        <v>2.5184667200000002</v>
      </c>
      <c r="N23" s="118">
        <f>K23+(K23/100*32)</f>
        <v>2.8658414400000005</v>
      </c>
      <c r="O23" s="119">
        <f>O21*B23</f>
        <v>2.0547835000000001</v>
      </c>
      <c r="P23" s="117">
        <f>O23+(O23/100*8)</f>
        <v>2.2191661800000002</v>
      </c>
      <c r="Q23" s="117">
        <f>O23+(O23/100*16)</f>
        <v>2.3835488600000003</v>
      </c>
      <c r="R23" s="118">
        <f>O23+(O23/100*32)</f>
        <v>2.7123142200000001</v>
      </c>
      <c r="S23" s="119">
        <f>S21*B23</f>
        <v>1.9384750000000002</v>
      </c>
      <c r="T23" s="117">
        <f>S23+(S23/100*8)</f>
        <v>2.093553</v>
      </c>
      <c r="U23" s="117">
        <f>S23+(S23/100*16)</f>
        <v>2.248631</v>
      </c>
      <c r="V23" s="118">
        <f>S23+(S23/100*32)</f>
        <v>2.5587870000000001</v>
      </c>
      <c r="W23" s="105">
        <f>54*55*B23*0.95/10000</f>
        <v>9.8752499999999994</v>
      </c>
    </row>
    <row r="24" spans="1:23" ht="19.5" thickBot="1">
      <c r="A24" s="368"/>
      <c r="B24" s="120">
        <v>40</v>
      </c>
      <c r="C24" s="104">
        <f>C21*B24</f>
        <v>4.4308000000000005</v>
      </c>
      <c r="D24" s="102">
        <f>C24+(C24/100*8)</f>
        <v>4.7852640000000006</v>
      </c>
      <c r="E24" s="102">
        <f>C24+(C24/100*16)</f>
        <v>5.1397280000000007</v>
      </c>
      <c r="F24" s="103">
        <f>C24+(C24/100*32)</f>
        <v>5.848656000000001</v>
      </c>
      <c r="G24" s="104">
        <f>G21*B24</f>
        <v>2.6363259999999999</v>
      </c>
      <c r="H24" s="102">
        <f>G24+(G24/100*8)</f>
        <v>2.8472320799999999</v>
      </c>
      <c r="I24" s="102">
        <f>G24+(G24/100*16)</f>
        <v>3.0581381599999999</v>
      </c>
      <c r="J24" s="103">
        <f>G24+(G24/100*32)</f>
        <v>3.4799503199999999</v>
      </c>
      <c r="K24" s="104">
        <f>K21*B24</f>
        <v>2.4812480000000003</v>
      </c>
      <c r="L24" s="102">
        <f>K24+(K24/100*8)</f>
        <v>2.6797478400000005</v>
      </c>
      <c r="M24" s="102">
        <f>K24+(K24/100*16)</f>
        <v>2.8782476800000003</v>
      </c>
      <c r="N24" s="103">
        <f>K24+(K24/100*32)</f>
        <v>3.2752473600000007</v>
      </c>
      <c r="O24" s="104">
        <f>O21*B24</f>
        <v>2.3483240000000003</v>
      </c>
      <c r="P24" s="102">
        <f>O24+(O24/100*8)</f>
        <v>2.5361899200000004</v>
      </c>
      <c r="Q24" s="102">
        <f>O24+(O24/100*16)</f>
        <v>2.7240558400000001</v>
      </c>
      <c r="R24" s="103">
        <f>O24+(O24/100*32)</f>
        <v>3.0997876800000004</v>
      </c>
      <c r="S24" s="104">
        <f>S21*B24</f>
        <v>2.2154000000000003</v>
      </c>
      <c r="T24" s="102">
        <f>S24+(S24/100*8)</f>
        <v>2.3926320000000003</v>
      </c>
      <c r="U24" s="102">
        <f>S24+(S24/100*16)</f>
        <v>2.5698640000000004</v>
      </c>
      <c r="V24" s="103">
        <f>S24+(S24/100*32)</f>
        <v>2.9243280000000005</v>
      </c>
      <c r="W24" s="105">
        <f>54*55*B24*0.95/10000</f>
        <v>11.286</v>
      </c>
    </row>
    <row r="25" spans="1:23" ht="15.75" thickBot="1">
      <c r="A25" s="90"/>
      <c r="B25" s="106"/>
      <c r="C25" s="125">
        <f>53*60*0.95/10000000*C3</f>
        <v>0.12084</v>
      </c>
      <c r="D25" s="122" t="s">
        <v>30</v>
      </c>
      <c r="E25" s="123"/>
      <c r="F25" s="124"/>
      <c r="G25" s="125">
        <f>53*60*0.95/10000000*G3</f>
        <v>7.18998E-2</v>
      </c>
      <c r="H25" s="122" t="s">
        <v>30</v>
      </c>
      <c r="I25" s="123"/>
      <c r="J25" s="124"/>
      <c r="K25" s="125">
        <f>53*60*0.95/10000000*K3</f>
        <v>6.7670400000000006E-2</v>
      </c>
      <c r="L25" s="122" t="s">
        <v>30</v>
      </c>
      <c r="M25" s="123"/>
      <c r="N25" s="124"/>
      <c r="O25" s="125">
        <f>53*60*0.95/10000000*O3</f>
        <v>6.404520000000001E-2</v>
      </c>
      <c r="P25" s="122" t="s">
        <v>30</v>
      </c>
      <c r="Q25" s="123"/>
      <c r="R25" s="124"/>
      <c r="S25" s="125">
        <f>53*60*0.95/10000000*S3</f>
        <v>6.0420000000000001E-2</v>
      </c>
      <c r="T25" s="122" t="s">
        <v>30</v>
      </c>
      <c r="U25" s="126"/>
      <c r="V25" s="127"/>
      <c r="W25" s="105"/>
    </row>
    <row r="26" spans="1:23" ht="19.5" thickBot="1">
      <c r="A26" s="367" t="s">
        <v>37</v>
      </c>
      <c r="B26" s="128">
        <v>30</v>
      </c>
      <c r="C26" s="129">
        <f>C25*B26</f>
        <v>3.6252</v>
      </c>
      <c r="D26" s="130">
        <f>C26+(C26/100*8)</f>
        <v>3.915216</v>
      </c>
      <c r="E26" s="130">
        <f>C26+(C26/100*16)</f>
        <v>4.2052319999999996</v>
      </c>
      <c r="F26" s="131">
        <f>C26+(C26/100*32)</f>
        <v>4.7852639999999997</v>
      </c>
      <c r="G26" s="132">
        <f>G25*B26</f>
        <v>2.1569940000000001</v>
      </c>
      <c r="H26" s="130">
        <f>G26+(G26/100*8)</f>
        <v>2.3295535200000002</v>
      </c>
      <c r="I26" s="130">
        <f>G26+(G26/100*16)</f>
        <v>2.5021130400000002</v>
      </c>
      <c r="J26" s="131">
        <f>G26+(G26/100*32)</f>
        <v>2.8472320799999999</v>
      </c>
      <c r="K26" s="132">
        <f>K25*B26</f>
        <v>2.0301120000000004</v>
      </c>
      <c r="L26" s="130">
        <f>K26+(K26/100*8)</f>
        <v>2.1925209600000004</v>
      </c>
      <c r="M26" s="130">
        <f>K26+(K26/100*16)</f>
        <v>2.3549299200000005</v>
      </c>
      <c r="N26" s="131">
        <f>K26+(K26/100*32)</f>
        <v>2.6797478400000005</v>
      </c>
      <c r="O26" s="132">
        <f>O25*B26</f>
        <v>1.9213560000000003</v>
      </c>
      <c r="P26" s="130">
        <f>O26+(O26/100*8)</f>
        <v>2.0750644800000004</v>
      </c>
      <c r="Q26" s="130">
        <f>O26+(O26/100*16)</f>
        <v>2.2287729600000006</v>
      </c>
      <c r="R26" s="131">
        <f>O26+(O26/100*32)</f>
        <v>2.5361899200000004</v>
      </c>
      <c r="S26" s="132">
        <f>S25*B26</f>
        <v>1.8126</v>
      </c>
      <c r="T26" s="130">
        <f>S26+(S26/100*8)</f>
        <v>1.957608</v>
      </c>
      <c r="U26" s="130">
        <f>S26+(S26/100*16)</f>
        <v>2.1026159999999998</v>
      </c>
      <c r="V26" s="131">
        <f>S26+(S26/100*32)</f>
        <v>2.3926319999999999</v>
      </c>
      <c r="W26" s="105">
        <f>54*60*B26*0.95/10000</f>
        <v>9.234</v>
      </c>
    </row>
    <row r="27" spans="1:23" ht="19.5" thickBot="1">
      <c r="A27" s="369"/>
      <c r="B27" s="115">
        <v>35</v>
      </c>
      <c r="C27" s="116">
        <f>C25*B27</f>
        <v>4.2294</v>
      </c>
      <c r="D27" s="117">
        <f>C27+(C27/100*8)</f>
        <v>4.5677520000000005</v>
      </c>
      <c r="E27" s="117">
        <f>C27+(C27/100*16)</f>
        <v>4.906104</v>
      </c>
      <c r="F27" s="118">
        <f>C27+(C27/100*32)</f>
        <v>5.582808</v>
      </c>
      <c r="G27" s="119">
        <f>G25*B27</f>
        <v>2.5164930000000001</v>
      </c>
      <c r="H27" s="117">
        <f>G27+(G27/100*8)</f>
        <v>2.7178124400000003</v>
      </c>
      <c r="I27" s="117">
        <f>G27+(G27/100*16)</f>
        <v>2.9191318800000001</v>
      </c>
      <c r="J27" s="118">
        <f>G27+(G27/100*32)</f>
        <v>3.3217707600000002</v>
      </c>
      <c r="K27" s="119">
        <f>K25*B27</f>
        <v>2.3684640000000003</v>
      </c>
      <c r="L27" s="117">
        <f>K27+(K27/100*8)</f>
        <v>2.5579411200000002</v>
      </c>
      <c r="M27" s="117">
        <f>K27+(K27/100*16)</f>
        <v>2.7474182400000005</v>
      </c>
      <c r="N27" s="118">
        <f>K27+(K27/100*32)</f>
        <v>3.1263724800000006</v>
      </c>
      <c r="O27" s="119">
        <f>O25*B27</f>
        <v>2.2415820000000002</v>
      </c>
      <c r="P27" s="117">
        <f>O27+(O27/100*8)</f>
        <v>2.42090856</v>
      </c>
      <c r="Q27" s="117">
        <f>O27+(O27/100*16)</f>
        <v>2.6002351200000002</v>
      </c>
      <c r="R27" s="118">
        <f>O27+(O27/100*32)</f>
        <v>2.9588882400000003</v>
      </c>
      <c r="S27" s="119">
        <f>S25*B27</f>
        <v>2.1147</v>
      </c>
      <c r="T27" s="117">
        <f>S27+(S27/100*8)</f>
        <v>2.2838760000000002</v>
      </c>
      <c r="U27" s="117">
        <f>S27+(S27/100*16)</f>
        <v>2.453052</v>
      </c>
      <c r="V27" s="118">
        <f>S27+(S27/100*32)</f>
        <v>2.791404</v>
      </c>
      <c r="W27" s="105">
        <f>54*60*B27*0.95/10000</f>
        <v>10.773</v>
      </c>
    </row>
    <row r="28" spans="1:23" ht="19.5" thickBot="1">
      <c r="A28" s="368"/>
      <c r="B28" s="120">
        <v>40</v>
      </c>
      <c r="C28" s="104">
        <f>C25*B28</f>
        <v>4.8336000000000006</v>
      </c>
      <c r="D28" s="102">
        <f>C28+(C28/100*8)</f>
        <v>5.2202880000000009</v>
      </c>
      <c r="E28" s="102">
        <f>C28+(C28/100*16)</f>
        <v>5.6069760000000004</v>
      </c>
      <c r="F28" s="103">
        <f>C28+(C28/100*32)</f>
        <v>6.3803520000000002</v>
      </c>
      <c r="G28" s="104">
        <f>G25*B28</f>
        <v>2.8759920000000001</v>
      </c>
      <c r="H28" s="102">
        <f>G28+(G28/100*8)</f>
        <v>3.1060713600000001</v>
      </c>
      <c r="I28" s="102">
        <f>G28+(G28/100*16)</f>
        <v>3.33615072</v>
      </c>
      <c r="J28" s="103">
        <f>G28+(G28/100*32)</f>
        <v>3.7963094399999999</v>
      </c>
      <c r="K28" s="104">
        <f>K25*B28</f>
        <v>2.7068160000000003</v>
      </c>
      <c r="L28" s="102">
        <f>K28+(K28/100*8)</f>
        <v>2.9233612800000004</v>
      </c>
      <c r="M28" s="102">
        <f>K28+(K28/100*16)</f>
        <v>3.1399065600000005</v>
      </c>
      <c r="N28" s="103">
        <f>K28+(K28/100*32)</f>
        <v>3.5729971200000006</v>
      </c>
      <c r="O28" s="104">
        <f>O25*B28</f>
        <v>2.5618080000000005</v>
      </c>
      <c r="P28" s="102">
        <f>O28+(O28/100*8)</f>
        <v>2.7667526400000004</v>
      </c>
      <c r="Q28" s="102">
        <f>O28+(O28/100*16)</f>
        <v>2.9716972800000008</v>
      </c>
      <c r="R28" s="103">
        <f>O28+(O28/100*32)</f>
        <v>3.3815865600000006</v>
      </c>
      <c r="S28" s="104">
        <f>S25*B28</f>
        <v>2.4168000000000003</v>
      </c>
      <c r="T28" s="102">
        <f>S28+(S28/100*8)</f>
        <v>2.6101440000000005</v>
      </c>
      <c r="U28" s="102">
        <f>S28+(S28/100*16)</f>
        <v>2.8034880000000002</v>
      </c>
      <c r="V28" s="103">
        <f>S28+(S28/100*32)</f>
        <v>3.1901760000000001</v>
      </c>
      <c r="W28" s="105">
        <f>54*60*B28*0.95/10000</f>
        <v>12.311999999999999</v>
      </c>
    </row>
    <row r="29" spans="1:23" ht="15.75" thickBot="1">
      <c r="A29" s="90"/>
      <c r="B29" s="106"/>
      <c r="C29" s="125">
        <f>60*60*0.95/10000000*C3</f>
        <v>0.1368</v>
      </c>
      <c r="D29" s="122" t="s">
        <v>30</v>
      </c>
      <c r="E29" s="123"/>
      <c r="F29" s="124"/>
      <c r="G29" s="125">
        <f>60*60*0.95/10000000*G3</f>
        <v>8.139600000000001E-2</v>
      </c>
      <c r="H29" s="122" t="s">
        <v>30</v>
      </c>
      <c r="I29" s="123"/>
      <c r="J29" s="124"/>
      <c r="K29" s="125">
        <f>60*60*0.95/10000000*K3</f>
        <v>7.6608000000000009E-2</v>
      </c>
      <c r="L29" s="122" t="s">
        <v>30</v>
      </c>
      <c r="M29" s="123"/>
      <c r="N29" s="124"/>
      <c r="O29" s="125">
        <f>60*60*0.95/10000000*O3</f>
        <v>7.2503999999999999E-2</v>
      </c>
      <c r="P29" s="122" t="s">
        <v>30</v>
      </c>
      <c r="Q29" s="123"/>
      <c r="R29" s="124"/>
      <c r="S29" s="125">
        <f>60*60*0.95/10000000*S3</f>
        <v>6.8400000000000002E-2</v>
      </c>
      <c r="T29" s="122" t="s">
        <v>30</v>
      </c>
      <c r="U29" s="133"/>
      <c r="V29" s="134"/>
      <c r="W29" s="105"/>
    </row>
    <row r="30" spans="1:23" ht="19.5" thickBot="1">
      <c r="A30" s="367" t="s">
        <v>38</v>
      </c>
      <c r="B30" s="115">
        <v>30</v>
      </c>
      <c r="C30" s="119">
        <f>C29*B30</f>
        <v>4.1040000000000001</v>
      </c>
      <c r="D30" s="117">
        <f>C30+(C30/100*8)</f>
        <v>4.4323199999999998</v>
      </c>
      <c r="E30" s="117">
        <f>C30+(C30/100*16)</f>
        <v>4.7606400000000004</v>
      </c>
      <c r="F30" s="118">
        <f>C30+(C30/100*32)</f>
        <v>5.4172799999999999</v>
      </c>
      <c r="G30" s="119">
        <f>G29*B30</f>
        <v>2.4418800000000003</v>
      </c>
      <c r="H30" s="117">
        <f>G30+(G30/100*8)</f>
        <v>2.6372304000000004</v>
      </c>
      <c r="I30" s="117">
        <f>G30+(G30/100*16)</f>
        <v>2.8325808000000006</v>
      </c>
      <c r="J30" s="118">
        <f>G30+(G30/100*32)</f>
        <v>3.2232816000000004</v>
      </c>
      <c r="K30" s="119">
        <f>K29*B30</f>
        <v>2.2982400000000003</v>
      </c>
      <c r="L30" s="117">
        <f>K30+(K30/100*8)</f>
        <v>2.4820992000000004</v>
      </c>
      <c r="M30" s="117">
        <f>K30+(K30/100*16)</f>
        <v>2.6659584000000005</v>
      </c>
      <c r="N30" s="118">
        <f>K30+(K30/100*32)</f>
        <v>3.0336768000000003</v>
      </c>
      <c r="O30" s="119">
        <f>O29*B30</f>
        <v>2.1751200000000002</v>
      </c>
      <c r="P30" s="117">
        <f>O30+(O30/100*8)</f>
        <v>2.3491296000000004</v>
      </c>
      <c r="Q30" s="117">
        <f>O30+(O30/100*16)</f>
        <v>2.5231392000000001</v>
      </c>
      <c r="R30" s="118">
        <f>O30+(O30/100*32)</f>
        <v>2.8711584000000001</v>
      </c>
      <c r="S30" s="119">
        <f>S29*B30</f>
        <v>2.052</v>
      </c>
      <c r="T30" s="117">
        <f>S30+(S30/100*8)</f>
        <v>2.2161599999999999</v>
      </c>
      <c r="U30" s="117">
        <f>S30+(S30/100*16)</f>
        <v>2.3803200000000002</v>
      </c>
      <c r="V30" s="118">
        <f>S30+(S30/100*32)</f>
        <v>2.7086399999999999</v>
      </c>
      <c r="W30" s="105">
        <f>60*60*B30*0.95/10000</f>
        <v>10.26</v>
      </c>
    </row>
    <row r="31" spans="1:23" ht="19.5" thickBot="1">
      <c r="A31" s="369"/>
      <c r="B31" s="115">
        <v>40</v>
      </c>
      <c r="C31" s="119">
        <f>C29*B31</f>
        <v>5.4720000000000004</v>
      </c>
      <c r="D31" s="117">
        <f>C31+(C31/100*8)</f>
        <v>5.9097600000000003</v>
      </c>
      <c r="E31" s="117">
        <f>C31+(C31/100*16)</f>
        <v>6.3475200000000003</v>
      </c>
      <c r="F31" s="118">
        <f>C31+(C31/100*32)</f>
        <v>7.223040000000001</v>
      </c>
      <c r="G31" s="119">
        <f>G29*B31</f>
        <v>3.2558400000000005</v>
      </c>
      <c r="H31" s="117">
        <f>G31+(G31/100*8)</f>
        <v>3.5163072000000004</v>
      </c>
      <c r="I31" s="117">
        <f>G31+(G31/100*16)</f>
        <v>3.7767744000000008</v>
      </c>
      <c r="J31" s="118">
        <f>G31+(G31/100*32)</f>
        <v>4.2977088000000006</v>
      </c>
      <c r="K31" s="119">
        <f>K29*B31</f>
        <v>3.0643200000000004</v>
      </c>
      <c r="L31" s="117">
        <f>K31+(K31/100*8)</f>
        <v>3.3094656000000002</v>
      </c>
      <c r="M31" s="117">
        <f>K31+(K31/100*16)</f>
        <v>3.5546112000000005</v>
      </c>
      <c r="N31" s="118">
        <f>K31+(K31/100*32)</f>
        <v>4.0449024000000007</v>
      </c>
      <c r="O31" s="119">
        <f>O29*B31</f>
        <v>2.9001600000000001</v>
      </c>
      <c r="P31" s="117">
        <f>O31+(O31/100*8)</f>
        <v>3.1321728000000002</v>
      </c>
      <c r="Q31" s="117">
        <f>O31+(O31/100*16)</f>
        <v>3.3641855999999999</v>
      </c>
      <c r="R31" s="118">
        <f>O31+(O31/100*32)</f>
        <v>3.8282112000000001</v>
      </c>
      <c r="S31" s="119">
        <f>S29*B31</f>
        <v>2.7360000000000002</v>
      </c>
      <c r="T31" s="117">
        <f>S31+(S31/100*8)</f>
        <v>2.9548800000000002</v>
      </c>
      <c r="U31" s="117">
        <f>S31+(S31/100*16)</f>
        <v>3.1737600000000001</v>
      </c>
      <c r="V31" s="118">
        <f>S31+(S31/100*32)</f>
        <v>3.6115200000000005</v>
      </c>
      <c r="W31" s="105">
        <f>60*60*B31*0.95/10000</f>
        <v>13.68</v>
      </c>
    </row>
    <row r="32" spans="1:23" ht="19.5" thickBot="1">
      <c r="A32" s="368"/>
      <c r="B32" s="120">
        <v>50</v>
      </c>
      <c r="C32" s="104">
        <f>C29*B32</f>
        <v>6.84</v>
      </c>
      <c r="D32" s="102">
        <f>C32+(C32/100*8)</f>
        <v>7.3872</v>
      </c>
      <c r="E32" s="102">
        <f>C32+(C32/100*16)</f>
        <v>7.9344000000000001</v>
      </c>
      <c r="F32" s="103">
        <f>C32+(C32/100*32)</f>
        <v>9.0288000000000004</v>
      </c>
      <c r="G32" s="104">
        <f>G29*B32</f>
        <v>4.0698000000000008</v>
      </c>
      <c r="H32" s="102">
        <f>G32+(G32/100*8)</f>
        <v>4.3953840000000008</v>
      </c>
      <c r="I32" s="102">
        <f>G32+(G32/100*16)</f>
        <v>4.7209680000000009</v>
      </c>
      <c r="J32" s="103">
        <f>G32+(G32/100*32)</f>
        <v>5.3721360000000011</v>
      </c>
      <c r="K32" s="104">
        <f>K29*B32</f>
        <v>3.8304000000000005</v>
      </c>
      <c r="L32" s="102">
        <f>K32+(K32/100*8)</f>
        <v>4.1368320000000001</v>
      </c>
      <c r="M32" s="102">
        <f>K32+(K32/100*16)</f>
        <v>4.443264000000001</v>
      </c>
      <c r="N32" s="103">
        <f>K32+(K32/100*32)</f>
        <v>5.0561280000000011</v>
      </c>
      <c r="O32" s="104">
        <f>O29*B32</f>
        <v>3.6252</v>
      </c>
      <c r="P32" s="102">
        <f>O32+(O32/100*8)</f>
        <v>3.915216</v>
      </c>
      <c r="Q32" s="102">
        <f>O32+(O32/100*16)</f>
        <v>4.2052319999999996</v>
      </c>
      <c r="R32" s="103">
        <f>O32+(Q32/100*32)</f>
        <v>4.9708742399999997</v>
      </c>
      <c r="S32" s="104">
        <f>S29*B32</f>
        <v>3.42</v>
      </c>
      <c r="T32" s="135">
        <f>S32+(S32/100*8)</f>
        <v>3.6936</v>
      </c>
      <c r="U32" s="102">
        <f>S32+(S32/100*16)</f>
        <v>3.9672000000000001</v>
      </c>
      <c r="V32" s="103">
        <f>S32+(S32/100*32)</f>
        <v>4.5144000000000002</v>
      </c>
      <c r="W32" s="105">
        <f>60*60*B32*0.95/10000</f>
        <v>17.100000000000001</v>
      </c>
    </row>
    <row r="33" spans="1:23" ht="15.75" thickBot="1">
      <c r="A33" s="90"/>
      <c r="B33" s="106"/>
      <c r="C33" s="125">
        <f>65*70*0.95/10000000*C3</f>
        <v>0.1729</v>
      </c>
      <c r="D33" s="122" t="s">
        <v>30</v>
      </c>
      <c r="E33" s="136"/>
      <c r="F33" s="137"/>
      <c r="G33" s="125">
        <f>65*70*0.95/10000000*G3</f>
        <v>0.10287550000000001</v>
      </c>
      <c r="H33" s="122" t="s">
        <v>30</v>
      </c>
      <c r="I33" s="136"/>
      <c r="J33" s="137"/>
      <c r="K33" s="125">
        <f>65*70*0.95/10000000*K3</f>
        <v>9.6824000000000007E-2</v>
      </c>
      <c r="L33" s="122" t="s">
        <v>30</v>
      </c>
      <c r="M33" s="136"/>
      <c r="N33" s="137"/>
      <c r="O33" s="125">
        <f>65*70*0.95/10000000*O3</f>
        <v>9.163700000000001E-2</v>
      </c>
      <c r="P33" s="122" t="s">
        <v>30</v>
      </c>
      <c r="Q33" s="136"/>
      <c r="R33" s="137"/>
      <c r="S33" s="125">
        <f>65*70*0.95/10000000*S3</f>
        <v>8.6449999999999999E-2</v>
      </c>
      <c r="T33" s="93" t="s">
        <v>30</v>
      </c>
      <c r="U33" s="133"/>
      <c r="V33" s="134"/>
      <c r="W33" s="105"/>
    </row>
    <row r="34" spans="1:23" ht="19.5" thickBot="1">
      <c r="A34" s="367" t="s">
        <v>39</v>
      </c>
      <c r="B34" s="115">
        <v>35</v>
      </c>
      <c r="C34" s="119">
        <f>C33*B34</f>
        <v>6.0514999999999999</v>
      </c>
      <c r="D34" s="117">
        <f>C34+(C34/100*8)</f>
        <v>6.5356199999999998</v>
      </c>
      <c r="E34" s="117">
        <f>C34+(C34/100*16)</f>
        <v>7.0197399999999996</v>
      </c>
      <c r="F34" s="118">
        <f>C34+(C34/100*32)</f>
        <v>7.9879800000000003</v>
      </c>
      <c r="G34" s="119">
        <f>G33*B34</f>
        <v>3.6006425000000002</v>
      </c>
      <c r="H34" s="117">
        <f>G34+(G34/100*8)</f>
        <v>3.8886939000000003</v>
      </c>
      <c r="I34" s="117">
        <f>G34+(G34/100*16)</f>
        <v>4.1767453000000003</v>
      </c>
      <c r="J34" s="118">
        <f>G34+(G34/100*32)</f>
        <v>4.7528481000000005</v>
      </c>
      <c r="K34" s="119">
        <f>K33*B34</f>
        <v>3.3888400000000001</v>
      </c>
      <c r="L34" s="117">
        <f>K34+(K34/100*8)</f>
        <v>3.6599472</v>
      </c>
      <c r="M34" s="117">
        <f>K34+(K34/100*16)</f>
        <v>3.9310543999999998</v>
      </c>
      <c r="N34" s="118">
        <f>K34+(K34/100*32)</f>
        <v>4.4732687999999996</v>
      </c>
      <c r="O34" s="119">
        <f>O33*B34</f>
        <v>3.2072950000000002</v>
      </c>
      <c r="P34" s="117">
        <f>O34+(O34/100*8)</f>
        <v>3.4638786000000001</v>
      </c>
      <c r="Q34" s="117">
        <f>O34+(O34/100*16)</f>
        <v>3.7204622000000001</v>
      </c>
      <c r="R34" s="118">
        <f>O34+(O34/100*32)</f>
        <v>4.2336293999999999</v>
      </c>
      <c r="S34" s="119">
        <f>S33*B34</f>
        <v>3.0257499999999999</v>
      </c>
      <c r="T34" s="117">
        <f>S34+(S34/100*8)</f>
        <v>3.2678099999999999</v>
      </c>
      <c r="U34" s="117">
        <f>S34+(S34/100*16)</f>
        <v>3.5098699999999998</v>
      </c>
      <c r="V34" s="118">
        <f>S34+(S34/100*32)</f>
        <v>3.9939900000000002</v>
      </c>
      <c r="W34" s="105">
        <f>65*70*B34*0.95/10000</f>
        <v>15.12875</v>
      </c>
    </row>
    <row r="35" spans="1:23" ht="19.5" thickBot="1">
      <c r="A35" s="369"/>
      <c r="B35" s="115">
        <v>40</v>
      </c>
      <c r="C35" s="119">
        <f>C33*B35</f>
        <v>6.9160000000000004</v>
      </c>
      <c r="D35" s="117">
        <f>C35+(C35/100*8)</f>
        <v>7.4692800000000004</v>
      </c>
      <c r="E35" s="117">
        <f>C35+(C35/100*16)</f>
        <v>8.0225600000000004</v>
      </c>
      <c r="F35" s="118">
        <f>C35+(C35/100*32)</f>
        <v>9.1291200000000003</v>
      </c>
      <c r="G35" s="119">
        <f>G33*B35</f>
        <v>4.1150200000000003</v>
      </c>
      <c r="H35" s="117">
        <f>G35+(G35/100*8)</f>
        <v>4.4442216000000005</v>
      </c>
      <c r="I35" s="117">
        <f>G35+(G35/100*16)</f>
        <v>4.7734232000000008</v>
      </c>
      <c r="J35" s="118">
        <f>G35+(G35/100*32)</f>
        <v>5.4318264000000003</v>
      </c>
      <c r="K35" s="119">
        <f>K33*B35</f>
        <v>3.8729600000000004</v>
      </c>
      <c r="L35" s="117">
        <f>K35+(K35/100*8)</f>
        <v>4.1827968000000002</v>
      </c>
      <c r="M35" s="117">
        <f>K35+(K35/100*16)</f>
        <v>4.4926336000000004</v>
      </c>
      <c r="N35" s="118">
        <f>K35+(K35/100*32)</f>
        <v>5.1123072000000001</v>
      </c>
      <c r="O35" s="119">
        <f>O33*B35</f>
        <v>3.6654800000000005</v>
      </c>
      <c r="P35" s="117">
        <f>O35+(O35/100*8)</f>
        <v>3.9587184000000004</v>
      </c>
      <c r="Q35" s="117">
        <f>O35+(O35/100*16)</f>
        <v>4.2519568000000003</v>
      </c>
      <c r="R35" s="118">
        <f>O35+(O35/100*32)</f>
        <v>4.838433600000001</v>
      </c>
      <c r="S35" s="119">
        <f>S33*B35</f>
        <v>3.4580000000000002</v>
      </c>
      <c r="T35" s="117">
        <f>S35+(S35/100*8)</f>
        <v>3.7346400000000002</v>
      </c>
      <c r="U35" s="117">
        <f>S35+(S35/100*16)</f>
        <v>4.0112800000000002</v>
      </c>
      <c r="V35" s="118">
        <f>S35+(S35/100*32)</f>
        <v>4.5645600000000002</v>
      </c>
      <c r="W35" s="105">
        <f>65*70*B35*0.95/10000</f>
        <v>17.29</v>
      </c>
    </row>
    <row r="36" spans="1:23" ht="19.5" thickBot="1">
      <c r="A36" s="368"/>
      <c r="B36" s="120">
        <v>50</v>
      </c>
      <c r="C36" s="138">
        <f>C33*B36</f>
        <v>8.6449999999999996</v>
      </c>
      <c r="D36" s="135">
        <f>C36+(C36/100*8)</f>
        <v>9.3365999999999989</v>
      </c>
      <c r="E36" s="135">
        <f>C36+(C36/100*16)</f>
        <v>10.0282</v>
      </c>
      <c r="F36" s="139">
        <f>C36+(C36/100*32)</f>
        <v>11.4114</v>
      </c>
      <c r="G36" s="138">
        <f>G33*B36</f>
        <v>5.1437750000000007</v>
      </c>
      <c r="H36" s="135">
        <f>G36+(G36/100*8)</f>
        <v>5.5552770000000002</v>
      </c>
      <c r="I36" s="135">
        <f>G36+(G36/100*16)</f>
        <v>5.9667790000000007</v>
      </c>
      <c r="J36" s="139">
        <f>G36+(G36/100*32)</f>
        <v>6.7897830000000008</v>
      </c>
      <c r="K36" s="138">
        <f>K33*B36</f>
        <v>4.8412000000000006</v>
      </c>
      <c r="L36" s="135">
        <f>K36+(K36/100*8)</f>
        <v>5.2284960000000007</v>
      </c>
      <c r="M36" s="135">
        <f>K36+(K36/100*16)</f>
        <v>5.6157920000000008</v>
      </c>
      <c r="N36" s="139">
        <f>K36+(K36/100*32)</f>
        <v>6.390384000000001</v>
      </c>
      <c r="O36" s="138">
        <f>O33*B36</f>
        <v>4.5818500000000002</v>
      </c>
      <c r="P36" s="135">
        <f>O36+(O36/100*8)</f>
        <v>4.9483980000000001</v>
      </c>
      <c r="Q36" s="135">
        <f>O36+(O36/100*16)</f>
        <v>5.3149459999999999</v>
      </c>
      <c r="R36" s="139">
        <f>O36+(O36/100*32)</f>
        <v>6.0480420000000006</v>
      </c>
      <c r="S36" s="138">
        <f>S33*B36</f>
        <v>4.3224999999999998</v>
      </c>
      <c r="T36" s="135">
        <f>S36+(S36/100*8)</f>
        <v>4.6682999999999995</v>
      </c>
      <c r="U36" s="135">
        <f>S36+(S36/100*16)</f>
        <v>5.0141</v>
      </c>
      <c r="V36" s="139">
        <f>S36+(S36/100*32)</f>
        <v>5.7057000000000002</v>
      </c>
      <c r="W36" s="105">
        <f>65*70*B36*0.95/10000</f>
        <v>21.612500000000001</v>
      </c>
    </row>
    <row r="37" spans="1:23" ht="18.75" thickBot="1">
      <c r="A37" s="140" t="s">
        <v>40</v>
      </c>
      <c r="B37" s="141"/>
      <c r="C37" s="142">
        <f>20*35*0.95/10000000*C3</f>
        <v>2.6600000000000002E-2</v>
      </c>
      <c r="D37" s="93" t="s">
        <v>30</v>
      </c>
      <c r="E37" s="93"/>
      <c r="F37" s="93"/>
      <c r="G37" s="142">
        <f>20*35*0.95/10000000*G3</f>
        <v>1.5827000000000001E-2</v>
      </c>
      <c r="H37" s="93"/>
      <c r="I37" s="93" t="s">
        <v>30</v>
      </c>
      <c r="J37" s="93"/>
      <c r="K37" s="142">
        <f>20*35*0.95/10000000*K3</f>
        <v>1.4896000000000001E-2</v>
      </c>
      <c r="L37" s="93" t="s">
        <v>30</v>
      </c>
      <c r="M37" s="93"/>
      <c r="N37" s="93"/>
      <c r="O37" s="142">
        <f>20*35*0.95/10000000*O3</f>
        <v>1.4098000000000001E-2</v>
      </c>
      <c r="P37" s="93" t="s">
        <v>30</v>
      </c>
      <c r="Q37" s="93"/>
      <c r="R37" s="93"/>
      <c r="S37" s="142">
        <f>20*35*0.95/10000000*S3</f>
        <v>1.3300000000000001E-2</v>
      </c>
      <c r="T37" s="93" t="s">
        <v>30</v>
      </c>
      <c r="U37" s="143"/>
      <c r="V37" s="144"/>
      <c r="W37" s="145"/>
    </row>
    <row r="38" spans="1:23" ht="20.25" thickBot="1">
      <c r="A38" s="146" t="s">
        <v>41</v>
      </c>
      <c r="B38" s="120">
        <v>25</v>
      </c>
      <c r="C38" s="147">
        <f>C37*B38</f>
        <v>0.66500000000000004</v>
      </c>
      <c r="D38" s="148">
        <f>C38+(C38/100*8)</f>
        <v>0.71820000000000006</v>
      </c>
      <c r="E38" s="148">
        <f>C38+(C38/100*16)</f>
        <v>0.77140000000000009</v>
      </c>
      <c r="F38" s="149">
        <f>C38+(C38/100*32)</f>
        <v>0.87780000000000002</v>
      </c>
      <c r="G38" s="147">
        <f>G37*B38</f>
        <v>0.395675</v>
      </c>
      <c r="H38" s="148">
        <f>G38+(G38/100*8)</f>
        <v>0.42732900000000001</v>
      </c>
      <c r="I38" s="148">
        <f>G38+(G38/100*16)</f>
        <v>0.45898300000000003</v>
      </c>
      <c r="J38" s="149">
        <f>G38+(G38/100*32)</f>
        <v>0.52229100000000006</v>
      </c>
      <c r="K38" s="147">
        <f>K37*B38+0.05</f>
        <v>0.4224</v>
      </c>
      <c r="L38" s="148">
        <f>K38+(K38/100*8)</f>
        <v>0.45619199999999999</v>
      </c>
      <c r="M38" s="148">
        <f>K38+(K38/100*14)</f>
        <v>0.48153600000000002</v>
      </c>
      <c r="N38" s="149">
        <f>K38+(K38/100*25)</f>
        <v>0.52800000000000002</v>
      </c>
      <c r="O38" s="147">
        <f>O37*B38+0.05</f>
        <v>0.40245000000000003</v>
      </c>
      <c r="P38" s="148">
        <f>O38+(O38/100*6)</f>
        <v>0.426597</v>
      </c>
      <c r="Q38" s="148">
        <f>O38+(O38/100*13)</f>
        <v>0.45476850000000002</v>
      </c>
      <c r="R38" s="149">
        <f>O38+(O38/100*25)</f>
        <v>0.50306250000000008</v>
      </c>
      <c r="S38" s="147">
        <f>S37*B38+0.05</f>
        <v>0.38250000000000001</v>
      </c>
      <c r="T38" s="102">
        <f>S38+(S38/100*8)</f>
        <v>0.41310000000000002</v>
      </c>
      <c r="U38" s="102">
        <f>S38+(S38/100*13)</f>
        <v>0.43222500000000003</v>
      </c>
      <c r="V38" s="103">
        <f>S38+(S38/100*28)</f>
        <v>0.48960000000000004</v>
      </c>
      <c r="W38" s="150">
        <f>20*30*B38*0.95/10000</f>
        <v>1.425</v>
      </c>
    </row>
    <row r="39" spans="1:23" ht="15.75" thickBot="1">
      <c r="A39" s="90"/>
      <c r="B39" s="141"/>
      <c r="C39" s="151">
        <f>24*40*0.95/10000000*C3</f>
        <v>3.6479999999999999E-2</v>
      </c>
      <c r="D39" s="122" t="s">
        <v>30</v>
      </c>
      <c r="E39" s="122"/>
      <c r="F39" s="122"/>
      <c r="G39" s="151">
        <f>24*40*0.95/10000000*G3</f>
        <v>2.1705599999999999E-2</v>
      </c>
      <c r="H39" s="122"/>
      <c r="I39" s="122" t="s">
        <v>30</v>
      </c>
      <c r="J39" s="122"/>
      <c r="K39" s="151">
        <f>24*40*0.95/10000000*K3</f>
        <v>2.0428799999999997E-2</v>
      </c>
      <c r="L39" s="122" t="s">
        <v>30</v>
      </c>
      <c r="M39" s="122"/>
      <c r="N39" s="122"/>
      <c r="O39" s="151">
        <f>24*40*0.95/10000000*O3</f>
        <v>1.9334399999999998E-2</v>
      </c>
      <c r="P39" s="122" t="s">
        <v>30</v>
      </c>
      <c r="Q39" s="122"/>
      <c r="R39" s="122"/>
      <c r="S39" s="151">
        <f>24*40*0.95/10000000*S3</f>
        <v>1.8239999999999999E-2</v>
      </c>
      <c r="T39" s="122" t="s">
        <v>30</v>
      </c>
      <c r="U39" s="126"/>
      <c r="V39" s="152"/>
      <c r="W39" s="145"/>
    </row>
    <row r="40" spans="1:23" ht="20.25" thickBot="1">
      <c r="A40" s="146" t="s">
        <v>42</v>
      </c>
      <c r="B40" s="120">
        <v>25</v>
      </c>
      <c r="C40" s="147">
        <f>C39*B40</f>
        <v>0.91199999999999992</v>
      </c>
      <c r="D40" s="148">
        <f>C40+(C40/100*8)</f>
        <v>0.98495999999999995</v>
      </c>
      <c r="E40" s="148">
        <f>C40+(C40/100*16)</f>
        <v>1.05792</v>
      </c>
      <c r="F40" s="149">
        <f>C40+(C40/100*32)</f>
        <v>1.20384</v>
      </c>
      <c r="G40" s="147">
        <f>G39*B40</f>
        <v>0.54264000000000001</v>
      </c>
      <c r="H40" s="148">
        <f>G40+(G40/100*8)</f>
        <v>0.58605119999999999</v>
      </c>
      <c r="I40" s="148">
        <f>G40+(G40/100*16)</f>
        <v>0.62946239999999998</v>
      </c>
      <c r="J40" s="149">
        <f>G40+(G40/100*32)</f>
        <v>0.71628480000000005</v>
      </c>
      <c r="K40" s="147">
        <f>K39*B40+0.05</f>
        <v>0.56072</v>
      </c>
      <c r="L40" s="148">
        <f>K40+(K40/100*8)</f>
        <v>0.60557759999999994</v>
      </c>
      <c r="M40" s="148">
        <f>K40+(K40/100*14)</f>
        <v>0.63922080000000003</v>
      </c>
      <c r="N40" s="149">
        <f>K40+(K40/100*28)</f>
        <v>0.71772159999999996</v>
      </c>
      <c r="O40" s="147">
        <f>O39*B40+0.05</f>
        <v>0.53335999999999995</v>
      </c>
      <c r="P40" s="148">
        <f>O40+(O40/100*8)</f>
        <v>0.5760287999999999</v>
      </c>
      <c r="Q40" s="148">
        <f>O40+(O40/100*14)</f>
        <v>0.60803039999999997</v>
      </c>
      <c r="R40" s="149">
        <f>O40+(O40/100*27)</f>
        <v>0.67736719999999995</v>
      </c>
      <c r="S40" s="147">
        <f>S39*B40+0.05</f>
        <v>0.50600000000000001</v>
      </c>
      <c r="T40" s="102">
        <f>S40+(S40/100*7)</f>
        <v>0.54142000000000001</v>
      </c>
      <c r="U40" s="102">
        <f>S40+(S40/100*16)</f>
        <v>0.58696000000000004</v>
      </c>
      <c r="V40" s="103">
        <f>S40+(S40/100*30)</f>
        <v>0.65780000000000005</v>
      </c>
      <c r="W40" s="105">
        <f>24*35*B40*0.95/10000</f>
        <v>1.9950000000000001</v>
      </c>
    </row>
    <row r="41" spans="1:23" ht="15.75" thickBot="1">
      <c r="A41" s="90"/>
      <c r="B41" s="141"/>
      <c r="C41" s="151">
        <f>30*45*0.95/10000000*C3</f>
        <v>5.1299999999999998E-2</v>
      </c>
      <c r="D41" s="122" t="s">
        <v>30</v>
      </c>
      <c r="E41" s="122"/>
      <c r="F41" s="122"/>
      <c r="G41" s="151">
        <f>30*45*0.95/10000000*G3</f>
        <v>3.0523499999999999E-2</v>
      </c>
      <c r="H41" s="122"/>
      <c r="I41" s="122" t="s">
        <v>30</v>
      </c>
      <c r="J41" s="122"/>
      <c r="K41" s="151">
        <f>30*45*0.95/10000000*K3</f>
        <v>2.8728E-2</v>
      </c>
      <c r="L41" s="122" t="s">
        <v>30</v>
      </c>
      <c r="M41" s="122"/>
      <c r="N41" s="122"/>
      <c r="O41" s="151">
        <f>30*45*0.95/10000000*O3</f>
        <v>2.7189000000000001E-2</v>
      </c>
      <c r="P41" s="122" t="s">
        <v>30</v>
      </c>
      <c r="Q41" s="122"/>
      <c r="R41" s="122"/>
      <c r="S41" s="151">
        <f>30*45*0.95/10000000*S3</f>
        <v>2.5649999999999999E-2</v>
      </c>
      <c r="T41" s="122" t="s">
        <v>30</v>
      </c>
      <c r="U41" s="126"/>
      <c r="V41" s="152"/>
      <c r="W41" s="145"/>
    </row>
    <row r="42" spans="1:23" ht="18.75">
      <c r="A42" s="370" t="s">
        <v>43</v>
      </c>
      <c r="B42" s="128">
        <v>30</v>
      </c>
      <c r="C42" s="153">
        <f>C41*B42</f>
        <v>1.5389999999999999</v>
      </c>
      <c r="D42" s="130">
        <f>C42+(C42/100*8)</f>
        <v>1.6621199999999998</v>
      </c>
      <c r="E42" s="130">
        <f>C42+(C42/100*16)</f>
        <v>1.7852399999999999</v>
      </c>
      <c r="F42" s="131">
        <f>C42+(C42/100*32)</f>
        <v>2.0314799999999997</v>
      </c>
      <c r="G42" s="154">
        <f>G41*B42</f>
        <v>0.91570499999999999</v>
      </c>
      <c r="H42" s="155">
        <f>G42+(G42/100*8)</f>
        <v>0.98896139999999999</v>
      </c>
      <c r="I42" s="155">
        <f>G42+(G42/100*16)</f>
        <v>1.0622178</v>
      </c>
      <c r="J42" s="156">
        <f>G42+(G42/100*32)</f>
        <v>1.2087306</v>
      </c>
      <c r="K42" s="153">
        <f>K41*B42</f>
        <v>0.86184000000000005</v>
      </c>
      <c r="L42" s="155">
        <f>K42+(K42/100*8)</f>
        <v>0.93078720000000004</v>
      </c>
      <c r="M42" s="155">
        <f>K42+(K42/100*16)</f>
        <v>0.99973440000000002</v>
      </c>
      <c r="N42" s="156">
        <f>K42+(K42/100*32)</f>
        <v>1.1376288000000001</v>
      </c>
      <c r="O42" s="153">
        <f>O41*B42</f>
        <v>0.81567000000000001</v>
      </c>
      <c r="P42" s="155">
        <f>O42+(O42/100*8)</f>
        <v>0.88092360000000003</v>
      </c>
      <c r="Q42" s="155">
        <f>O42+(O42/100*16)</f>
        <v>0.94617719999999994</v>
      </c>
      <c r="R42" s="156">
        <f>O42+(O42/100*32)</f>
        <v>1.0766844</v>
      </c>
      <c r="S42" s="153">
        <f>S41*B42</f>
        <v>0.76949999999999996</v>
      </c>
      <c r="T42" s="130">
        <f>S42+(S42/100*8)</f>
        <v>0.83105999999999991</v>
      </c>
      <c r="U42" s="130">
        <f>S42+(S42/100*16)</f>
        <v>0.89261999999999997</v>
      </c>
      <c r="V42" s="131">
        <f>S42+(S42/100*32)</f>
        <v>1.0157399999999999</v>
      </c>
      <c r="W42" s="105">
        <f>30*40*B42*0.95/10000</f>
        <v>3.42</v>
      </c>
    </row>
    <row r="43" spans="1:23" ht="18.75">
      <c r="A43" s="371"/>
      <c r="B43" s="157">
        <v>40</v>
      </c>
      <c r="C43" s="158">
        <f>C41*B43</f>
        <v>2.052</v>
      </c>
      <c r="D43" s="159">
        <f>C43+(C43/100*8)</f>
        <v>2.2161599999999999</v>
      </c>
      <c r="E43" s="159">
        <f>C43+(C43/100*16)</f>
        <v>2.3803200000000002</v>
      </c>
      <c r="F43" s="160">
        <f>C43+(C43/100*32)</f>
        <v>2.7086399999999999</v>
      </c>
      <c r="G43" s="161">
        <f>G41*B43</f>
        <v>1.2209399999999999</v>
      </c>
      <c r="H43" s="159">
        <f>G43+(G43/100*8)</f>
        <v>1.3186152</v>
      </c>
      <c r="I43" s="159">
        <f>G43+(G43/100*16)</f>
        <v>1.4162903999999998</v>
      </c>
      <c r="J43" s="160">
        <f>G43+(G43/100*32)</f>
        <v>1.6116408</v>
      </c>
      <c r="K43" s="158">
        <f>K41*B43</f>
        <v>1.1491199999999999</v>
      </c>
      <c r="L43" s="159">
        <f>K43+(K43/100*8)</f>
        <v>1.2410496</v>
      </c>
      <c r="M43" s="159">
        <f>K43+(K43/100*16)</f>
        <v>1.3329792</v>
      </c>
      <c r="N43" s="160">
        <f>K43+(K43/100*32)</f>
        <v>1.5168383999999999</v>
      </c>
      <c r="O43" s="158">
        <f>O41*B43</f>
        <v>1.0875600000000001</v>
      </c>
      <c r="P43" s="159">
        <f>O43+(O43/100*8)</f>
        <v>1.1745648000000002</v>
      </c>
      <c r="Q43" s="159">
        <f>O43+(O43/100*16)</f>
        <v>1.2615696000000001</v>
      </c>
      <c r="R43" s="160">
        <f>O43+(O43/100*32)</f>
        <v>1.4355792000000001</v>
      </c>
      <c r="S43" s="158">
        <f>S41*B43</f>
        <v>1.026</v>
      </c>
      <c r="T43" s="162">
        <f>S43+(S43/100*8)</f>
        <v>1.10808</v>
      </c>
      <c r="U43" s="162">
        <f>S43+(S43/100*16)</f>
        <v>1.1901600000000001</v>
      </c>
      <c r="V43" s="163">
        <f>S43+(S43/100*32)</f>
        <v>1.35432</v>
      </c>
      <c r="W43" s="105">
        <f>30*40*B43*0.95/10000</f>
        <v>4.5599999999999996</v>
      </c>
    </row>
    <row r="44" spans="1:23" ht="19.5" thickBot="1">
      <c r="A44" s="372"/>
      <c r="B44" s="164">
        <v>50</v>
      </c>
      <c r="C44" s="165">
        <f>C41*B44</f>
        <v>2.5649999999999999</v>
      </c>
      <c r="D44" s="166">
        <f>C44+(C44/100*8)</f>
        <v>2.7702</v>
      </c>
      <c r="E44" s="166">
        <f>C44+(C44/100*16)</f>
        <v>2.9754</v>
      </c>
      <c r="F44" s="167">
        <f>C44+(C44/100*32)</f>
        <v>3.3857999999999997</v>
      </c>
      <c r="G44" s="165">
        <f>G41*B44</f>
        <v>1.5261749999999998</v>
      </c>
      <c r="H44" s="168">
        <f>G44+(G44/100*8)</f>
        <v>1.6482689999999998</v>
      </c>
      <c r="I44" s="168">
        <f>G44+(G44/100*16)</f>
        <v>1.7703629999999997</v>
      </c>
      <c r="J44" s="169">
        <f>G44+(G44/100*32)</f>
        <v>2.014551</v>
      </c>
      <c r="K44" s="165">
        <f>K41*B44</f>
        <v>1.4363999999999999</v>
      </c>
      <c r="L44" s="168">
        <f>K44+(K44/100*8)</f>
        <v>1.5513119999999998</v>
      </c>
      <c r="M44" s="168">
        <f>K44+(K44/100*16)</f>
        <v>1.6662239999999999</v>
      </c>
      <c r="N44" s="169">
        <f>K44+(K44/100*32)</f>
        <v>1.896048</v>
      </c>
      <c r="O44" s="165">
        <f>O41*B44</f>
        <v>1.35945</v>
      </c>
      <c r="P44" s="168">
        <f>O44+(O44/100*8)</f>
        <v>1.4682060000000001</v>
      </c>
      <c r="Q44" s="168">
        <f>O44+(O44/100*16)</f>
        <v>1.576962</v>
      </c>
      <c r="R44" s="169">
        <f>O44+(O44/100*32)</f>
        <v>1.7944740000000001</v>
      </c>
      <c r="S44" s="165">
        <f>S41*B44</f>
        <v>1.2825</v>
      </c>
      <c r="T44" s="166">
        <f>S44+(S44/100*8)</f>
        <v>1.3851</v>
      </c>
      <c r="U44" s="166">
        <f>S44+(S44/100*16)</f>
        <v>1.4877</v>
      </c>
      <c r="V44" s="167">
        <f>S44+(S44/100*32)</f>
        <v>1.6928999999999998</v>
      </c>
      <c r="W44" s="105">
        <f>30*40*B44*0.95/10000</f>
        <v>5.7</v>
      </c>
    </row>
    <row r="45" spans="1:23" ht="15.75" thickBot="1">
      <c r="A45" s="90"/>
      <c r="B45" s="170"/>
      <c r="C45" s="171">
        <f>38*55*0.95/10000000*C3</f>
        <v>7.9420000000000004E-2</v>
      </c>
      <c r="D45" s="172" t="s">
        <v>30</v>
      </c>
      <c r="E45" s="172"/>
      <c r="F45" s="172"/>
      <c r="G45" s="171">
        <f>38*55*0.95/10000000*G3</f>
        <v>4.7254900000000002E-2</v>
      </c>
      <c r="H45" s="172"/>
      <c r="I45" s="172" t="s">
        <v>30</v>
      </c>
      <c r="J45" s="172"/>
      <c r="K45" s="171">
        <f>38*55*0.95/10000000*K3</f>
        <v>4.4475199999999999E-2</v>
      </c>
      <c r="L45" s="172" t="s">
        <v>30</v>
      </c>
      <c r="M45" s="172"/>
      <c r="N45" s="172"/>
      <c r="O45" s="171">
        <f>38*55*0.95/10000000*O3</f>
        <v>4.2092600000000001E-2</v>
      </c>
      <c r="P45" s="172" t="s">
        <v>30</v>
      </c>
      <c r="Q45" s="172"/>
      <c r="R45" s="172"/>
      <c r="S45" s="171">
        <f>38*55*0.95/10000000*S3</f>
        <v>3.9710000000000002E-2</v>
      </c>
      <c r="T45" s="172" t="s">
        <v>30</v>
      </c>
      <c r="U45" s="173"/>
      <c r="V45" s="174"/>
      <c r="W45" s="145"/>
    </row>
    <row r="46" spans="1:23" ht="18.75">
      <c r="A46" s="373" t="s">
        <v>44</v>
      </c>
      <c r="B46" s="175">
        <v>30</v>
      </c>
      <c r="C46" s="176">
        <f>B46*C45</f>
        <v>2.3826000000000001</v>
      </c>
      <c r="D46" s="177">
        <f>C46+(C46/100*8)</f>
        <v>2.5732080000000002</v>
      </c>
      <c r="E46" s="177">
        <f>C46+(C46/100*16)</f>
        <v>2.7638160000000003</v>
      </c>
      <c r="F46" s="178">
        <f>C46+(C46/100*32)</f>
        <v>3.145032</v>
      </c>
      <c r="G46" s="176">
        <f>B46*G45</f>
        <v>1.4176470000000001</v>
      </c>
      <c r="H46" s="177">
        <f>G46+(G46/100*8)</f>
        <v>1.5310587600000001</v>
      </c>
      <c r="I46" s="177">
        <f>G46+(G46/100*16)</f>
        <v>1.64447052</v>
      </c>
      <c r="J46" s="179">
        <f>G46+(G46/100*32)</f>
        <v>1.8712940400000002</v>
      </c>
      <c r="K46" s="180">
        <f>K45*B46</f>
        <v>1.3342559999999999</v>
      </c>
      <c r="L46" s="177">
        <f>K46+(K46/100*8)</f>
        <v>1.4409964799999999</v>
      </c>
      <c r="M46" s="177">
        <f>K46+(K46/100*16)</f>
        <v>1.5477369599999999</v>
      </c>
      <c r="N46" s="178">
        <f>K46+(K46/100*32)</f>
        <v>1.7612179199999998</v>
      </c>
      <c r="O46" s="176">
        <f>O45*B46</f>
        <v>1.262778</v>
      </c>
      <c r="P46" s="177">
        <f>O46+O46/100*8</f>
        <v>1.36380024</v>
      </c>
      <c r="Q46" s="177">
        <f>O46+O46/100*16</f>
        <v>1.46482248</v>
      </c>
      <c r="R46" s="179">
        <f>O46+O46/100*32</f>
        <v>1.6668669599999999</v>
      </c>
      <c r="S46" s="180">
        <f>B46*S45</f>
        <v>1.1913</v>
      </c>
      <c r="T46" s="177">
        <f>S46+S46/100*8</f>
        <v>1.2866040000000001</v>
      </c>
      <c r="U46" s="177">
        <f>S46+S46/100*16</f>
        <v>1.3819080000000001</v>
      </c>
      <c r="V46" s="179">
        <f>S46+S46/100*32</f>
        <v>1.572516</v>
      </c>
      <c r="W46" s="181">
        <f>38*48*B46*0.95/10000</f>
        <v>5.1984000000000004</v>
      </c>
    </row>
    <row r="47" spans="1:23" ht="18.75">
      <c r="A47" s="373"/>
      <c r="B47" s="182">
        <v>40</v>
      </c>
      <c r="C47" s="183">
        <f>B47*C45</f>
        <v>3.1768000000000001</v>
      </c>
      <c r="D47" s="184">
        <f>C47+(C47/100*8)</f>
        <v>3.4309440000000002</v>
      </c>
      <c r="E47" s="184">
        <f>C47+(D47/100*8)</f>
        <v>3.4512755200000003</v>
      </c>
      <c r="F47" s="185">
        <f>C47+(C47/100*32)</f>
        <v>4.1933759999999998</v>
      </c>
      <c r="G47" s="183">
        <f>B47*G45</f>
        <v>1.890196</v>
      </c>
      <c r="H47" s="184">
        <f>G47+(G47/100*8)</f>
        <v>2.04141168</v>
      </c>
      <c r="I47" s="184">
        <f>G47+(G47/100*16)</f>
        <v>2.1926273599999999</v>
      </c>
      <c r="J47" s="186">
        <f>G47+(G47/100*32)</f>
        <v>2.4950587199999998</v>
      </c>
      <c r="K47" s="187">
        <f>K45*B47</f>
        <v>1.7790079999999999</v>
      </c>
      <c r="L47" s="184">
        <f>K47+(K47/100*8)</f>
        <v>1.92132864</v>
      </c>
      <c r="M47" s="184">
        <f>K47+(K47/100*16)</f>
        <v>2.0636492799999999</v>
      </c>
      <c r="N47" s="185">
        <f>K47+(K47/100*32)</f>
        <v>2.3482905599999997</v>
      </c>
      <c r="O47" s="183">
        <f>O45*B47</f>
        <v>1.6837040000000001</v>
      </c>
      <c r="P47" s="184">
        <f>O47+O47/100*8</f>
        <v>1.8184003200000001</v>
      </c>
      <c r="Q47" s="184">
        <f>O47+O47/100*16</f>
        <v>1.9530966400000001</v>
      </c>
      <c r="R47" s="186">
        <f>O47+O47/100*32</f>
        <v>2.22248928</v>
      </c>
      <c r="S47" s="187">
        <f>B47*S45</f>
        <v>1.5884</v>
      </c>
      <c r="T47" s="184">
        <f>S47+S47/100*8</f>
        <v>1.7154720000000001</v>
      </c>
      <c r="U47" s="184">
        <f>S47+S47/100*16</f>
        <v>1.842544</v>
      </c>
      <c r="V47" s="186">
        <f>S47+S47/100*32</f>
        <v>2.0966879999999999</v>
      </c>
      <c r="W47" s="181">
        <f>38*48*B47*0.95/10000</f>
        <v>6.9311999999999996</v>
      </c>
    </row>
    <row r="48" spans="1:23" ht="19.5" thickBot="1">
      <c r="A48" s="374"/>
      <c r="B48" s="188">
        <v>50</v>
      </c>
      <c r="C48" s="189">
        <f>B48*C45</f>
        <v>3.9710000000000001</v>
      </c>
      <c r="D48" s="190">
        <f>C48+(C48/100*8)</f>
        <v>4.2886800000000003</v>
      </c>
      <c r="E48" s="190">
        <f>C48+(C48/100*16)</f>
        <v>4.6063600000000005</v>
      </c>
      <c r="F48" s="191">
        <f>C48+(C48/100*32)</f>
        <v>5.2417199999999999</v>
      </c>
      <c r="G48" s="189">
        <f>B48*G45</f>
        <v>2.3627450000000003</v>
      </c>
      <c r="H48" s="190">
        <f>G48+(G48/100*8)</f>
        <v>2.5517646000000003</v>
      </c>
      <c r="I48" s="190">
        <f>G48+(G48/100*16)</f>
        <v>2.7407842000000002</v>
      </c>
      <c r="J48" s="192">
        <f>G48+(G48/100*32)</f>
        <v>3.1188234000000006</v>
      </c>
      <c r="K48" s="193">
        <f>K45*B48</f>
        <v>2.22376</v>
      </c>
      <c r="L48" s="190">
        <f>K48+(K48/100*8)</f>
        <v>2.4016608000000002</v>
      </c>
      <c r="M48" s="190">
        <f>K48+(K48/100*16)</f>
        <v>2.5795615999999999</v>
      </c>
      <c r="N48" s="191">
        <f>K48+(K48/100*32)</f>
        <v>2.9353631999999998</v>
      </c>
      <c r="O48" s="189">
        <f>B48*O45</f>
        <v>2.1046300000000002</v>
      </c>
      <c r="P48" s="190">
        <f>O48+O48/100*8</f>
        <v>2.2730004000000004</v>
      </c>
      <c r="Q48" s="190">
        <f>O48+O48/100*16</f>
        <v>2.4413708000000005</v>
      </c>
      <c r="R48" s="192">
        <f>O48+O48/100*32</f>
        <v>2.7781116000000003</v>
      </c>
      <c r="S48" s="193">
        <f>B48*S45</f>
        <v>1.9855</v>
      </c>
      <c r="T48" s="190">
        <f>S48+S48/100*8</f>
        <v>2.1443400000000001</v>
      </c>
      <c r="U48" s="190">
        <f>S48+S48/100*16</f>
        <v>2.3031800000000002</v>
      </c>
      <c r="V48" s="192">
        <f>S48+S48/100*32</f>
        <v>2.62086</v>
      </c>
      <c r="W48" s="181">
        <f>38*48*B48*0.95/10000</f>
        <v>8.6639999999999997</v>
      </c>
    </row>
    <row r="49" spans="1:23" ht="15.75" thickBot="1">
      <c r="A49" s="194"/>
      <c r="B49" s="195"/>
      <c r="C49" s="196">
        <f>40*60*0.95/10000000*C3</f>
        <v>9.1200000000000003E-2</v>
      </c>
      <c r="D49" s="197" t="s">
        <v>30</v>
      </c>
      <c r="E49" s="197"/>
      <c r="F49" s="198"/>
      <c r="G49" s="196">
        <f>40*60*0.95/10000000*G3</f>
        <v>5.4264E-2</v>
      </c>
      <c r="H49" s="197"/>
      <c r="I49" s="197" t="s">
        <v>30</v>
      </c>
      <c r="J49" s="198"/>
      <c r="K49" s="196">
        <f>40*60*0.95/10000000*K3</f>
        <v>5.1072000000000006E-2</v>
      </c>
      <c r="L49" s="197" t="s">
        <v>30</v>
      </c>
      <c r="M49" s="197"/>
      <c r="N49" s="198"/>
      <c r="O49" s="196">
        <f>40*60*0.95/10000000*O3</f>
        <v>4.8336000000000004E-2</v>
      </c>
      <c r="P49" s="197" t="s">
        <v>30</v>
      </c>
      <c r="Q49" s="197"/>
      <c r="R49" s="198"/>
      <c r="S49" s="196">
        <f>40*60*0.95/10000000*S3</f>
        <v>4.5600000000000002E-2</v>
      </c>
      <c r="T49" s="197" t="s">
        <v>30</v>
      </c>
      <c r="U49" s="199"/>
      <c r="V49" s="200"/>
      <c r="W49" s="181"/>
    </row>
    <row r="50" spans="1:23" ht="18.75">
      <c r="A50" s="373" t="s">
        <v>45</v>
      </c>
      <c r="B50" s="128">
        <v>30</v>
      </c>
      <c r="C50" s="201">
        <f>C49*B50</f>
        <v>2.7360000000000002</v>
      </c>
      <c r="D50" s="202">
        <f>C50+(C50/100*8)</f>
        <v>2.9548800000000002</v>
      </c>
      <c r="E50" s="202">
        <f>C50+(C50/100*16)</f>
        <v>3.1737600000000001</v>
      </c>
      <c r="F50" s="203">
        <f>C50+(C50/100*32)</f>
        <v>3.6115200000000005</v>
      </c>
      <c r="G50" s="201">
        <f>G49*B50</f>
        <v>1.62792</v>
      </c>
      <c r="H50" s="202">
        <f>G50+(G50/100*8)</f>
        <v>1.7581536</v>
      </c>
      <c r="I50" s="202">
        <f>G50+(G50/100*16)</f>
        <v>1.8883871999999999</v>
      </c>
      <c r="J50" s="203">
        <f>G50+(G50/100*32)</f>
        <v>2.1488544000000003</v>
      </c>
      <c r="K50" s="201">
        <f>K49*B50</f>
        <v>1.5321600000000002</v>
      </c>
      <c r="L50" s="202">
        <f>K50+(K50/100*8)</f>
        <v>1.6547328000000001</v>
      </c>
      <c r="M50" s="202">
        <f>K50+(K50/100*16)</f>
        <v>1.7773056000000003</v>
      </c>
      <c r="N50" s="203">
        <f>K50+(K50/100*32)</f>
        <v>2.0224512000000003</v>
      </c>
      <c r="O50" s="201">
        <f>O49*B50</f>
        <v>1.45008</v>
      </c>
      <c r="P50" s="202">
        <f>O50+(O50/100*8)</f>
        <v>1.5660864000000001</v>
      </c>
      <c r="Q50" s="202">
        <f>O50+(O50/100*16)</f>
        <v>1.6820927999999999</v>
      </c>
      <c r="R50" s="203">
        <f>O50+(O50/100*32)</f>
        <v>1.9141056000000001</v>
      </c>
      <c r="S50" s="201">
        <f>S49*B50</f>
        <v>1.3680000000000001</v>
      </c>
      <c r="T50" s="204">
        <f>S50+(S50/100*8)</f>
        <v>1.4774400000000001</v>
      </c>
      <c r="U50" s="204">
        <f>S50+(S50/100*16)</f>
        <v>1.5868800000000001</v>
      </c>
      <c r="V50" s="205">
        <f>S50+(S50/100*32)</f>
        <v>1.8057600000000003</v>
      </c>
      <c r="W50" s="105">
        <f>40*54*B50*0.95/10000</f>
        <v>6.1559999999999997</v>
      </c>
    </row>
    <row r="51" spans="1:23" ht="18.75">
      <c r="A51" s="373"/>
      <c r="B51" s="157">
        <v>40</v>
      </c>
      <c r="C51" s="165">
        <f>C49*B51</f>
        <v>3.6480000000000001</v>
      </c>
      <c r="D51" s="166">
        <f>C51+(C51/100*8)</f>
        <v>3.9398400000000002</v>
      </c>
      <c r="E51" s="166">
        <f>C51+(C51/100*16)</f>
        <v>4.2316799999999999</v>
      </c>
      <c r="F51" s="167">
        <f>C51+(C51/100*32)</f>
        <v>4.8153600000000001</v>
      </c>
      <c r="G51" s="165">
        <f>G49*B51</f>
        <v>2.17056</v>
      </c>
      <c r="H51" s="168">
        <f>G51+(G51/100*8)</f>
        <v>2.3442048</v>
      </c>
      <c r="I51" s="168">
        <f>G51+(G51/100*16)</f>
        <v>2.5178495999999999</v>
      </c>
      <c r="J51" s="169">
        <f>G51+(G51/100*32)</f>
        <v>2.8651392000000002</v>
      </c>
      <c r="K51" s="165">
        <f>K49*B51</f>
        <v>2.0428800000000003</v>
      </c>
      <c r="L51" s="168">
        <f>K51+(K51/100*8)</f>
        <v>2.2063104000000004</v>
      </c>
      <c r="M51" s="168">
        <f>K51+(K51/100*16)</f>
        <v>2.3697408000000002</v>
      </c>
      <c r="N51" s="169">
        <f>K51+(K51/100*32)</f>
        <v>2.6966016000000002</v>
      </c>
      <c r="O51" s="165">
        <f>O49*B51</f>
        <v>1.93344</v>
      </c>
      <c r="P51" s="168">
        <f>O51+(O51/100*8)</f>
        <v>2.0881151999999998</v>
      </c>
      <c r="Q51" s="168">
        <f>O51+(O51/100*16)</f>
        <v>2.2427904000000001</v>
      </c>
      <c r="R51" s="169">
        <f>O51+(O51/100*32)</f>
        <v>2.5521408000000001</v>
      </c>
      <c r="S51" s="165">
        <f>S49*B51</f>
        <v>1.8240000000000001</v>
      </c>
      <c r="T51" s="166">
        <f>S51+(S51/100*8)</f>
        <v>1.9699200000000001</v>
      </c>
      <c r="U51" s="166">
        <f>S51+(S51/100*16)</f>
        <v>2.1158399999999999</v>
      </c>
      <c r="V51" s="167">
        <f>S51+(S51/100*32)</f>
        <v>2.40768</v>
      </c>
      <c r="W51" s="105">
        <f>40*54*B51*0.95/10000</f>
        <v>8.2080000000000002</v>
      </c>
    </row>
    <row r="52" spans="1:23" ht="19.5" thickBot="1">
      <c r="A52" s="374"/>
      <c r="B52" s="164">
        <v>50</v>
      </c>
      <c r="C52" s="147">
        <f>C49*B52</f>
        <v>4.5600000000000005</v>
      </c>
      <c r="D52" s="148">
        <f>C52+(C52/100*8)</f>
        <v>4.9248000000000003</v>
      </c>
      <c r="E52" s="148">
        <f>C52+(C52/100*16)</f>
        <v>5.2896000000000001</v>
      </c>
      <c r="F52" s="149">
        <f>C52+(C52/100*32)</f>
        <v>6.0192000000000005</v>
      </c>
      <c r="G52" s="147">
        <f>G49*B52</f>
        <v>2.7132000000000001</v>
      </c>
      <c r="H52" s="148">
        <f>G52+(G52/100*8)</f>
        <v>2.930256</v>
      </c>
      <c r="I52" s="148">
        <f>G52+(G52/100*16)</f>
        <v>3.1473119999999999</v>
      </c>
      <c r="J52" s="149">
        <f>G52+(G52/100*32)</f>
        <v>3.5814240000000002</v>
      </c>
      <c r="K52" s="147">
        <f>K49*B52</f>
        <v>2.5536000000000003</v>
      </c>
      <c r="L52" s="148">
        <f>K52+(K52/100*8)</f>
        <v>2.7578880000000003</v>
      </c>
      <c r="M52" s="148">
        <f>K52+(K52/100*16)</f>
        <v>2.9621760000000004</v>
      </c>
      <c r="N52" s="149">
        <f>K52+(K52/100*32)</f>
        <v>3.3707520000000004</v>
      </c>
      <c r="O52" s="147">
        <f>O49*B52</f>
        <v>2.4168000000000003</v>
      </c>
      <c r="P52" s="148">
        <f>O52+(O52/100*8)</f>
        <v>2.6101440000000005</v>
      </c>
      <c r="Q52" s="148">
        <f>O52+(O52/100*16)</f>
        <v>2.8034880000000002</v>
      </c>
      <c r="R52" s="149">
        <f>O52+(O52/100*32)</f>
        <v>3.1901760000000001</v>
      </c>
      <c r="S52" s="147">
        <f>S49*B52</f>
        <v>2.2800000000000002</v>
      </c>
      <c r="T52" s="102">
        <f>S52+(S52/100*8)</f>
        <v>2.4624000000000001</v>
      </c>
      <c r="U52" s="102">
        <f>S52+(S52/100*16)</f>
        <v>2.6448</v>
      </c>
      <c r="V52" s="103">
        <f>S52+(S52/100*32)</f>
        <v>3.0096000000000003</v>
      </c>
      <c r="W52" s="105">
        <f>40*54*B52*0.95/10000</f>
        <v>10.26</v>
      </c>
    </row>
    <row r="53" spans="1:23" ht="15.75" thickBot="1">
      <c r="A53" s="206" t="s">
        <v>46</v>
      </c>
      <c r="B53" s="207"/>
      <c r="C53" s="208"/>
      <c r="D53" s="209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1"/>
    </row>
    <row r="54" spans="1:23" ht="21" thickBot="1">
      <c r="A54" s="212" t="s">
        <v>17</v>
      </c>
      <c r="B54" s="366">
        <v>100</v>
      </c>
      <c r="C54" s="132">
        <f>C61/1000*450</f>
        <v>6.4799999999999995</v>
      </c>
      <c r="D54" s="130">
        <f>C54+(C54/100*8)</f>
        <v>6.9983999999999993</v>
      </c>
      <c r="E54" s="130">
        <f>C54+(C54/100*16)</f>
        <v>7.5167999999999999</v>
      </c>
      <c r="F54" s="131">
        <f>C54+(C54/100*32)</f>
        <v>8.5535999999999994</v>
      </c>
      <c r="G54" s="132">
        <f>C54-(C54/100*14)</f>
        <v>5.5727999999999991</v>
      </c>
      <c r="H54" s="130">
        <f>G54+(G54/100*8)</f>
        <v>6.0186239999999991</v>
      </c>
      <c r="I54" s="130">
        <f>G54+(G54/100*16)</f>
        <v>6.4644479999999991</v>
      </c>
      <c r="J54" s="131">
        <f>G54+(G54/100*32)</f>
        <v>7.3560959999999991</v>
      </c>
      <c r="K54" s="132">
        <f>C54-(C54/100*19)</f>
        <v>5.2487999999999992</v>
      </c>
      <c r="L54" s="130">
        <f>K54+(K54/100*8)</f>
        <v>5.6687039999999991</v>
      </c>
      <c r="M54" s="130">
        <f>K54+(K54/100*16)</f>
        <v>6.0886079999999989</v>
      </c>
      <c r="N54" s="131">
        <f>K54+(K54/100*32)</f>
        <v>6.9284159999999986</v>
      </c>
      <c r="O54" s="132">
        <f>C54-(C54/100*30)</f>
        <v>4.5359999999999996</v>
      </c>
      <c r="P54" s="130">
        <f>O54+(O54/100*8)</f>
        <v>4.8988799999999992</v>
      </c>
      <c r="Q54" s="130">
        <f>O54+(O54/100*16)</f>
        <v>5.2617599999999998</v>
      </c>
      <c r="R54" s="131">
        <f>O54+(O54/100*32)</f>
        <v>5.98752</v>
      </c>
      <c r="S54" s="132">
        <f>C54-(C54/100*33)</f>
        <v>4.3415999999999997</v>
      </c>
      <c r="T54" s="130">
        <f>S54+(S54/100*8)</f>
        <v>4.6889279999999998</v>
      </c>
      <c r="U54" s="130">
        <f>S54+(S54/100*16)</f>
        <v>5.0362559999999998</v>
      </c>
      <c r="V54" s="131">
        <f>S54+(S54/100*32)</f>
        <v>5.730912</v>
      </c>
      <c r="W54" s="77"/>
    </row>
    <row r="55" spans="1:23" ht="21" thickBot="1">
      <c r="A55" s="213" t="s">
        <v>18</v>
      </c>
      <c r="B55" s="366"/>
      <c r="C55" s="119">
        <f>F61/1000*450</f>
        <v>7.3350000000000009</v>
      </c>
      <c r="D55" s="117">
        <f>C55+(C55/100*8)</f>
        <v>7.9218000000000011</v>
      </c>
      <c r="E55" s="117">
        <f>C55+(C55/100*16)</f>
        <v>8.5086000000000013</v>
      </c>
      <c r="F55" s="118">
        <f>C55+(C55/100*32)</f>
        <v>9.6822000000000017</v>
      </c>
      <c r="G55" s="119">
        <f>C55-(C55/100*14)</f>
        <v>6.3081000000000005</v>
      </c>
      <c r="H55" s="117">
        <f>G55+(G55/100*8)</f>
        <v>6.8127480000000009</v>
      </c>
      <c r="I55" s="117">
        <f>G55+(G55/100*16)</f>
        <v>7.3173960000000005</v>
      </c>
      <c r="J55" s="118">
        <f>G55+(G55/100*32)</f>
        <v>8.3266920000000013</v>
      </c>
      <c r="K55" s="119">
        <f>C55-(C55/100*19)</f>
        <v>5.9413500000000008</v>
      </c>
      <c r="L55" s="117">
        <f>K55+(K55/100*8)</f>
        <v>6.4166580000000009</v>
      </c>
      <c r="M55" s="117">
        <f>K55+(K55/100*16)</f>
        <v>6.8919660000000009</v>
      </c>
      <c r="N55" s="118">
        <f>K55+(K55/100*32)</f>
        <v>7.8425820000000011</v>
      </c>
      <c r="O55" s="119">
        <f>C55-(C55/100*30)</f>
        <v>5.134500000000001</v>
      </c>
      <c r="P55" s="117">
        <f>O55+(O55/100*8)</f>
        <v>5.5452600000000007</v>
      </c>
      <c r="Q55" s="117">
        <f>O55+(O55/100*16)</f>
        <v>5.9560200000000014</v>
      </c>
      <c r="R55" s="118">
        <f>O55+(O55/100*32)</f>
        <v>6.777540000000001</v>
      </c>
      <c r="S55" s="119">
        <f>C55-(C55/100*33)</f>
        <v>4.9144500000000004</v>
      </c>
      <c r="T55" s="117">
        <f>S55+(S55/100*8)</f>
        <v>5.3076060000000007</v>
      </c>
      <c r="U55" s="117">
        <f>S55+(S55/100*16)</f>
        <v>5.700762000000001</v>
      </c>
      <c r="V55" s="118">
        <f>S55+(S55/100*32)</f>
        <v>6.4870740000000007</v>
      </c>
      <c r="W55" s="77"/>
    </row>
    <row r="56" spans="1:23" ht="21" thickBot="1">
      <c r="A56" s="213" t="s">
        <v>19</v>
      </c>
      <c r="B56" s="366"/>
      <c r="C56" s="119">
        <f>H61/1000*450</f>
        <v>9.8999999999999986</v>
      </c>
      <c r="D56" s="117">
        <f>C56+(C56/100*8)</f>
        <v>10.691999999999998</v>
      </c>
      <c r="E56" s="117">
        <f>C56+(C56/100*16)</f>
        <v>11.483999999999998</v>
      </c>
      <c r="F56" s="118">
        <f>C56+(C56/100*32)</f>
        <v>13.067999999999998</v>
      </c>
      <c r="G56" s="119">
        <f>C56-(C56/100*14)</f>
        <v>8.5139999999999993</v>
      </c>
      <c r="H56" s="117">
        <f>G56+(G56/100*8)</f>
        <v>9.1951199999999993</v>
      </c>
      <c r="I56" s="117">
        <f>G56+(G56/100*16)</f>
        <v>9.8762399999999992</v>
      </c>
      <c r="J56" s="118">
        <f>G56+(G56/100*32)</f>
        <v>11.238479999999999</v>
      </c>
      <c r="K56" s="119">
        <f>C56-(C56/100*19)</f>
        <v>8.0189999999999984</v>
      </c>
      <c r="L56" s="117">
        <f>K56+(K56/100*8)</f>
        <v>8.6605199999999982</v>
      </c>
      <c r="M56" s="117">
        <f>K56+(K56/100*16)</f>
        <v>9.3020399999999981</v>
      </c>
      <c r="N56" s="118">
        <f>K56+(K56/100*32)</f>
        <v>10.585079999999998</v>
      </c>
      <c r="O56" s="119">
        <f>C56-(C56/100*30)</f>
        <v>6.9299999999999988</v>
      </c>
      <c r="P56" s="117">
        <f>O56+(O56/100*8)</f>
        <v>7.4843999999999991</v>
      </c>
      <c r="Q56" s="117">
        <f>O56+(O56/100*16)</f>
        <v>8.0387999999999984</v>
      </c>
      <c r="R56" s="118">
        <f>O56+(O56/100*32)</f>
        <v>9.1475999999999988</v>
      </c>
      <c r="S56" s="119">
        <f>C56-(C56/100*33)</f>
        <v>6.6329999999999991</v>
      </c>
      <c r="T56" s="117">
        <f>S56+(S56/100*8)</f>
        <v>7.1636399999999991</v>
      </c>
      <c r="U56" s="117">
        <f>S56+(S56/100*16)</f>
        <v>7.6942799999999991</v>
      </c>
      <c r="V56" s="118">
        <f>S56+(S56/100*32)</f>
        <v>8.7555599999999991</v>
      </c>
      <c r="W56" s="77"/>
    </row>
    <row r="57" spans="1:23" ht="21" thickBot="1">
      <c r="A57" s="213" t="s">
        <v>20</v>
      </c>
      <c r="B57" s="366"/>
      <c r="C57" s="119">
        <f>J61/1000*450</f>
        <v>14.175000000000001</v>
      </c>
      <c r="D57" s="117">
        <f>C57+(C57/100*8)</f>
        <v>15.309000000000001</v>
      </c>
      <c r="E57" s="117">
        <f>C57+(C57/100*16)</f>
        <v>16.443000000000001</v>
      </c>
      <c r="F57" s="118">
        <f>C57+(C57/100*32)</f>
        <v>18.711000000000002</v>
      </c>
      <c r="G57" s="119">
        <f>C57-(C57/100*14)</f>
        <v>12.1905</v>
      </c>
      <c r="H57" s="117">
        <f>G57+(G57/100*8)</f>
        <v>13.16574</v>
      </c>
      <c r="I57" s="117">
        <f>G57+(G57/100*16)</f>
        <v>14.140980000000001</v>
      </c>
      <c r="J57" s="118">
        <f>G57+(G57/100*32)</f>
        <v>16.091460000000001</v>
      </c>
      <c r="K57" s="119">
        <f>C57-(C57/100*19)</f>
        <v>11.48175</v>
      </c>
      <c r="L57" s="117">
        <f>K57+(K57/100*8)</f>
        <v>12.40029</v>
      </c>
      <c r="M57" s="117">
        <f>K57+(K57/100*16)</f>
        <v>13.31883</v>
      </c>
      <c r="N57" s="118">
        <f>K57+(K57/100*32)</f>
        <v>15.15591</v>
      </c>
      <c r="O57" s="119">
        <f>C57-(C57/100*30)</f>
        <v>9.9224999999999994</v>
      </c>
      <c r="P57" s="117">
        <f>O57+(O57/100*8)</f>
        <v>10.716299999999999</v>
      </c>
      <c r="Q57" s="117">
        <f>O57+(O57/100*16)</f>
        <v>11.5101</v>
      </c>
      <c r="R57" s="118">
        <f>O57+(O57/100*32)</f>
        <v>13.0977</v>
      </c>
      <c r="S57" s="119">
        <f>C57-(C57/100*33)</f>
        <v>9.4972500000000011</v>
      </c>
      <c r="T57" s="117">
        <f>S57+(S57/100*8)</f>
        <v>10.25703</v>
      </c>
      <c r="U57" s="117">
        <f>S57+(S57/100*16)</f>
        <v>11.016810000000001</v>
      </c>
      <c r="V57" s="118">
        <f>S57+(S57/100*32)</f>
        <v>12.536370000000002</v>
      </c>
      <c r="W57" s="77"/>
    </row>
    <row r="58" spans="1:23" ht="21" thickBot="1">
      <c r="A58" s="214" t="s">
        <v>21</v>
      </c>
      <c r="B58" s="366"/>
      <c r="C58" s="104">
        <f>L61/1000*450</f>
        <v>19.305</v>
      </c>
      <c r="D58" s="102">
        <f>C58+(C58/100*8)</f>
        <v>20.849399999999999</v>
      </c>
      <c r="E58" s="102">
        <f>C58+(C58/100*16)</f>
        <v>22.393799999999999</v>
      </c>
      <c r="F58" s="103">
        <f>C58+(C58/100*32)</f>
        <v>25.482599999999998</v>
      </c>
      <c r="G58" s="104">
        <f>C58-(C58/100*14)</f>
        <v>16.6023</v>
      </c>
      <c r="H58" s="102">
        <f>G58+(G58/100*8)</f>
        <v>17.930484</v>
      </c>
      <c r="I58" s="102">
        <f>G58+(G58/100*16)</f>
        <v>19.258668</v>
      </c>
      <c r="J58" s="103">
        <f>G58+(G58/100*32)</f>
        <v>21.915036000000001</v>
      </c>
      <c r="K58" s="104">
        <f>C58-(C58/100*19)</f>
        <v>15.63705</v>
      </c>
      <c r="L58" s="102">
        <f>K58+(K58/100*8)</f>
        <v>16.888014000000002</v>
      </c>
      <c r="M58" s="102">
        <f>K58+(K58/100*16)</f>
        <v>18.138978000000002</v>
      </c>
      <c r="N58" s="103">
        <f>K58+(K58/100*32)</f>
        <v>20.640906000000001</v>
      </c>
      <c r="O58" s="104">
        <f>C58-(C58/100*30)</f>
        <v>13.513500000000001</v>
      </c>
      <c r="P58" s="102">
        <f>O58+(O58/100*8)</f>
        <v>14.594580000000001</v>
      </c>
      <c r="Q58" s="102">
        <f>O58+(O58/100*16)</f>
        <v>15.675660000000001</v>
      </c>
      <c r="R58" s="103">
        <f>O58+(O58/100*32)</f>
        <v>17.837820000000001</v>
      </c>
      <c r="S58" s="104">
        <f>C58-(C58/100*33)</f>
        <v>12.934349999999998</v>
      </c>
      <c r="T58" s="102">
        <f>S58+(S58/100*8)</f>
        <v>13.969097999999999</v>
      </c>
      <c r="U58" s="102">
        <f>S58+(S58/100*16)</f>
        <v>15.003845999999998</v>
      </c>
      <c r="V58" s="103">
        <f>S58+(S58/100*32)</f>
        <v>17.073341999999997</v>
      </c>
      <c r="W58" s="77"/>
    </row>
    <row r="59" spans="1:23" ht="15.75" thickBot="1">
      <c r="A59" s="215"/>
      <c r="B59" s="215"/>
      <c r="C59" s="215"/>
      <c r="D59" s="216"/>
      <c r="E59" s="216"/>
      <c r="F59" s="216"/>
      <c r="G59" s="216"/>
      <c r="H59" s="216"/>
      <c r="I59" s="216"/>
      <c r="J59" s="216"/>
      <c r="K59" s="216"/>
      <c r="L59" s="216"/>
      <c r="M59" s="217"/>
      <c r="N59" s="215"/>
      <c r="O59" s="215"/>
      <c r="P59" s="215"/>
      <c r="Q59" s="215"/>
      <c r="R59" s="215"/>
      <c r="S59" s="215"/>
      <c r="T59" s="215"/>
      <c r="U59" s="215"/>
      <c r="V59" s="215"/>
      <c r="W59" s="75"/>
    </row>
    <row r="60" spans="1:23" ht="18">
      <c r="A60" s="211"/>
      <c r="B60" s="211"/>
      <c r="C60" s="375" t="s">
        <v>47</v>
      </c>
      <c r="D60" s="375"/>
      <c r="E60" s="376" t="s">
        <v>48</v>
      </c>
      <c r="F60" s="376"/>
      <c r="G60" s="376" t="s">
        <v>49</v>
      </c>
      <c r="H60" s="376"/>
      <c r="I60" s="376" t="s">
        <v>50</v>
      </c>
      <c r="J60" s="376"/>
      <c r="K60" s="377" t="s">
        <v>51</v>
      </c>
      <c r="L60" s="377"/>
      <c r="M60" s="218"/>
      <c r="N60" s="219"/>
      <c r="O60" s="75"/>
      <c r="P60" s="75"/>
      <c r="Q60" s="75"/>
      <c r="R60" s="75"/>
      <c r="S60" s="75"/>
      <c r="T60" s="75"/>
      <c r="U60" s="75"/>
      <c r="V60" s="75"/>
      <c r="W60" s="75"/>
    </row>
    <row r="61" spans="1:23" ht="18.75">
      <c r="A61" s="211" t="s">
        <v>52</v>
      </c>
      <c r="B61" s="211"/>
      <c r="C61" s="220">
        <f>C63+3</f>
        <v>14.4</v>
      </c>
      <c r="D61" s="221"/>
      <c r="E61" s="222"/>
      <c r="F61" s="223">
        <f>F63+3</f>
        <v>16.3</v>
      </c>
      <c r="G61" s="224"/>
      <c r="H61" s="223">
        <f>H63+3</f>
        <v>22</v>
      </c>
      <c r="I61" s="224"/>
      <c r="J61" s="223">
        <f>J63+3</f>
        <v>31.5</v>
      </c>
      <c r="K61" s="224"/>
      <c r="L61" s="223">
        <f>L63+3</f>
        <v>42.9</v>
      </c>
      <c r="M61" s="22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1:23" ht="18.75">
      <c r="A62" s="211" t="s">
        <v>53</v>
      </c>
      <c r="B62" s="211"/>
      <c r="C62" s="220">
        <f>C64+3</f>
        <v>15.255000000000001</v>
      </c>
      <c r="D62" s="226"/>
      <c r="E62" s="75"/>
      <c r="F62" s="220">
        <f>F64+3</f>
        <v>17.297499999999999</v>
      </c>
      <c r="G62" s="227"/>
      <c r="H62" s="220">
        <f>H64+3</f>
        <v>23.14</v>
      </c>
      <c r="I62" s="227"/>
      <c r="J62" s="220">
        <f>J64+3</f>
        <v>33.875</v>
      </c>
      <c r="K62" s="227"/>
      <c r="L62" s="220">
        <f>L64+3</f>
        <v>46.225000000000001</v>
      </c>
      <c r="M62" s="211"/>
      <c r="N62" s="75"/>
      <c r="O62" s="75"/>
      <c r="P62" s="75"/>
      <c r="Q62" s="75"/>
      <c r="R62" s="75"/>
      <c r="S62" s="75"/>
      <c r="T62" s="75"/>
      <c r="U62" s="75"/>
      <c r="V62" s="75"/>
      <c r="W62" s="75"/>
    </row>
    <row r="63" spans="1:23" ht="18">
      <c r="A63" s="211" t="s">
        <v>54</v>
      </c>
      <c r="B63" s="211"/>
      <c r="C63" s="220">
        <f>40*30*B54*0.95/10000</f>
        <v>11.4</v>
      </c>
      <c r="D63" s="226"/>
      <c r="E63" s="75"/>
      <c r="F63" s="220">
        <f>40*35*B54*0.95/10000</f>
        <v>13.3</v>
      </c>
      <c r="G63" s="228"/>
      <c r="H63" s="220">
        <f>40*50*B54*0.95/10000</f>
        <v>19</v>
      </c>
      <c r="I63" s="228"/>
      <c r="J63" s="220">
        <f>60*50*B54*0.95/10000</f>
        <v>28.5</v>
      </c>
      <c r="K63" s="228"/>
      <c r="L63" s="220">
        <f>60*70*B54*0.95/10000</f>
        <v>39.9</v>
      </c>
      <c r="M63" s="211"/>
      <c r="N63" s="75"/>
      <c r="O63" s="75"/>
      <c r="P63" s="75"/>
      <c r="Q63" s="75"/>
      <c r="R63" s="75"/>
      <c r="S63" s="75"/>
      <c r="T63" s="75"/>
      <c r="U63" s="75"/>
      <c r="V63" s="75"/>
      <c r="W63" s="75"/>
    </row>
    <row r="64" spans="1:23" ht="18.75">
      <c r="A64" s="211" t="s">
        <v>55</v>
      </c>
      <c r="B64" s="211"/>
      <c r="C64" s="220">
        <f>43*30*B54*0.95/10000</f>
        <v>12.255000000000001</v>
      </c>
      <c r="D64" s="226"/>
      <c r="E64" s="75"/>
      <c r="F64" s="220">
        <f>43*35*B54*0.95/10000</f>
        <v>14.297499999999999</v>
      </c>
      <c r="G64" s="227"/>
      <c r="H64" s="220">
        <f>40*53*B54*0.95/10000</f>
        <v>20.14</v>
      </c>
      <c r="I64" s="227"/>
      <c r="J64" s="220">
        <f>65*50*B54*0.95/10000</f>
        <v>30.875</v>
      </c>
      <c r="K64" s="227"/>
      <c r="L64" s="220">
        <f>65*70*B54*0.95/10000</f>
        <v>43.225000000000001</v>
      </c>
      <c r="M64" s="211"/>
      <c r="N64" s="75"/>
      <c r="O64" s="75"/>
      <c r="P64" s="75"/>
      <c r="Q64" s="75"/>
      <c r="R64" s="75"/>
      <c r="S64" s="75"/>
      <c r="T64" s="75"/>
      <c r="U64" s="75"/>
      <c r="V64" s="75"/>
      <c r="W64" s="75"/>
    </row>
  </sheetData>
  <mergeCells count="23">
    <mergeCell ref="C60:D60"/>
    <mergeCell ref="E60:F60"/>
    <mergeCell ref="G60:H60"/>
    <mergeCell ref="I60:J60"/>
    <mergeCell ref="K60:L60"/>
    <mergeCell ref="B54:B58"/>
    <mergeCell ref="A7:A8"/>
    <mergeCell ref="A10:A12"/>
    <mergeCell ref="A14:A16"/>
    <mergeCell ref="A18:A20"/>
    <mergeCell ref="A22:A24"/>
    <mergeCell ref="A26:A28"/>
    <mergeCell ref="A30:A32"/>
    <mergeCell ref="A34:A36"/>
    <mergeCell ref="A42:A44"/>
    <mergeCell ref="A46:A48"/>
    <mergeCell ref="A50:A52"/>
    <mergeCell ref="W3:W4"/>
    <mergeCell ref="C1:F1"/>
    <mergeCell ref="G1:J1"/>
    <mergeCell ref="K1:N1"/>
    <mergeCell ref="O1:R1"/>
    <mergeCell ref="S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2025-12-01T13:27:00Z</dcterms:modified>
</cp:coreProperties>
</file>